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228" windowWidth="15288" windowHeight="7848" tabRatio="1000" firstSheet="5" activeTab="7"/>
  </bookViews>
  <sheets>
    <sheet name="Stat Fin Position" sheetId="1" r:id="rId1"/>
    <sheet name="Income Statement" sheetId="2" r:id="rId2"/>
    <sheet name="Cost of Goods Sold (COGS)" sheetId="9" r:id="rId3"/>
    <sheet name="Transaction Report" sheetId="4" r:id="rId4"/>
    <sheet name="Service Report" sheetId="5" r:id="rId5"/>
    <sheet name="Client Retention Analysis" sheetId="6" r:id="rId6"/>
    <sheet name="Status Quo budget@17aug15errors" sheetId="18" r:id="rId7"/>
    <sheet name="Status Quo budget FIXED 9sep15" sheetId="20" r:id="rId8"/>
    <sheet name="Loan calculator(Animal Trailer)" sheetId="12" r:id="rId9"/>
    <sheet name="Loan calculator (Motor vehicle)" sheetId="13" r:id="rId10"/>
    <sheet name="Loan calculator (Equipment)" sheetId="14" r:id="rId11"/>
    <sheet name="Test CFB 1" sheetId="15" r:id="rId12"/>
    <sheet name="Test CFB 2" sheetId="16" r:id="rId13"/>
    <sheet name="Test CFB 3-clients paying" sheetId="10" r:id="rId14"/>
    <sheet name="Sheet1" sheetId="19" r:id="rId15"/>
  </sheets>
  <externalReferences>
    <externalReference r:id="rId16"/>
  </externalReferences>
  <calcPr calcId="145621"/>
</workbook>
</file>

<file path=xl/calcChain.xml><?xml version="1.0" encoding="utf-8"?>
<calcChain xmlns="http://schemas.openxmlformats.org/spreadsheetml/2006/main">
  <c r="AH34" i="20" l="1"/>
  <c r="AG34" i="20"/>
  <c r="T44" i="20" l="1"/>
  <c r="T45" i="20" s="1"/>
  <c r="T46" i="20" s="1"/>
  <c r="U44" i="20"/>
  <c r="U45" i="20" s="1"/>
  <c r="V44" i="20"/>
  <c r="W44" i="20"/>
  <c r="W45" i="20" s="1"/>
  <c r="X44" i="20"/>
  <c r="Y44" i="20"/>
  <c r="Y45" i="20" s="1"/>
  <c r="Z44" i="20"/>
  <c r="AA44" i="20"/>
  <c r="AA45" i="20" s="1"/>
  <c r="AB44" i="20"/>
  <c r="AC44" i="20"/>
  <c r="AC45" i="20" s="1"/>
  <c r="AD44" i="20"/>
  <c r="AE44" i="20"/>
  <c r="AE45" i="20" s="1"/>
  <c r="V45" i="20"/>
  <c r="X45" i="20"/>
  <c r="Z45" i="20"/>
  <c r="Z46" i="20" s="1"/>
  <c r="AB45" i="20"/>
  <c r="AD45" i="20"/>
  <c r="AG68" i="20"/>
  <c r="AF58" i="20"/>
  <c r="AG58" i="20" s="1"/>
  <c r="AG57" i="20"/>
  <c r="AF57" i="20"/>
  <c r="AF56" i="20"/>
  <c r="AG56" i="20" s="1"/>
  <c r="AG55" i="20"/>
  <c r="T55" i="20" s="1"/>
  <c r="AG54" i="20"/>
  <c r="T54" i="20"/>
  <c r="U54" i="20" s="1"/>
  <c r="V54" i="20" s="1"/>
  <c r="W54" i="20" s="1"/>
  <c r="AG53" i="20"/>
  <c r="T53" i="20" s="1"/>
  <c r="U53" i="20" s="1"/>
  <c r="V53" i="20"/>
  <c r="W53" i="20" s="1"/>
  <c r="X53" i="20" s="1"/>
  <c r="Y53" i="20" s="1"/>
  <c r="Z53" i="20" s="1"/>
  <c r="AA53" i="20" s="1"/>
  <c r="AB53" i="20" s="1"/>
  <c r="AC53" i="20" s="1"/>
  <c r="AD53" i="20" s="1"/>
  <c r="AE53" i="20" s="1"/>
  <c r="AF52" i="20"/>
  <c r="AG52" i="20" s="1"/>
  <c r="AB52" i="20"/>
  <c r="AG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AF51" i="20" s="1"/>
  <c r="AG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AF50" i="20" s="1"/>
  <c r="AG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AG48" i="20"/>
  <c r="AE48" i="20"/>
  <c r="AD48" i="20"/>
  <c r="AC48" i="20"/>
  <c r="AB48" i="20"/>
  <c r="AA48" i="20"/>
  <c r="Z48" i="20"/>
  <c r="X48" i="20"/>
  <c r="W48" i="20"/>
  <c r="V48" i="20"/>
  <c r="U48" i="20"/>
  <c r="T48" i="20"/>
  <c r="AF48" i="20" s="1"/>
  <c r="AG47" i="20"/>
  <c r="T47" i="20" s="1"/>
  <c r="V47" i="20"/>
  <c r="W47" i="20" s="1"/>
  <c r="X47" i="20" s="1"/>
  <c r="Y47" i="20" s="1"/>
  <c r="Z47" i="20" s="1"/>
  <c r="AA47" i="20" s="1"/>
  <c r="AB47" i="20" s="1"/>
  <c r="AC47" i="20" s="1"/>
  <c r="AD47" i="20" s="1"/>
  <c r="AE47" i="20" s="1"/>
  <c r="U47" i="20"/>
  <c r="AG44" i="20"/>
  <c r="V46" i="20"/>
  <c r="AG43" i="20"/>
  <c r="AC41" i="20"/>
  <c r="U41" i="20"/>
  <c r="AG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AG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AF39" i="20" s="1"/>
  <c r="AG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AG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AF37" i="20" s="1"/>
  <c r="AG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AF36" i="20" s="1"/>
  <c r="AG35" i="20"/>
  <c r="AE35" i="20"/>
  <c r="V35" i="20"/>
  <c r="U35" i="20"/>
  <c r="T35" i="20"/>
  <c r="T41" i="20" s="1"/>
  <c r="AG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AF33" i="20" s="1"/>
  <c r="AG32" i="20"/>
  <c r="T32" i="20" s="1"/>
  <c r="AE32" i="20"/>
  <c r="AD32" i="20"/>
  <c r="AC32" i="20"/>
  <c r="AB32" i="20"/>
  <c r="AA32" i="20"/>
  <c r="Z32" i="20"/>
  <c r="Y32" i="20"/>
  <c r="X32" i="20"/>
  <c r="W32" i="20"/>
  <c r="V32" i="20"/>
  <c r="U32" i="20"/>
  <c r="AG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AF31" i="20" s="1"/>
  <c r="AG30" i="20"/>
  <c r="AE30" i="20"/>
  <c r="AC30" i="20"/>
  <c r="AB30" i="20"/>
  <c r="AA30" i="20"/>
  <c r="Z30" i="20"/>
  <c r="Y30" i="20"/>
  <c r="X30" i="20"/>
  <c r="W30" i="20"/>
  <c r="V30" i="20"/>
  <c r="U30" i="20"/>
  <c r="T30" i="20"/>
  <c r="AF30" i="20" s="1"/>
  <c r="AG29" i="20"/>
  <c r="T29" i="20"/>
  <c r="U29" i="20" s="1"/>
  <c r="V29" i="20" s="1"/>
  <c r="W29" i="20" s="1"/>
  <c r="X29" i="20" s="1"/>
  <c r="Y29" i="20" s="1"/>
  <c r="Z29" i="20" s="1"/>
  <c r="AA29" i="20" s="1"/>
  <c r="AB29" i="20" s="1"/>
  <c r="AC29" i="20" s="1"/>
  <c r="AD29" i="20" s="1"/>
  <c r="AE29" i="20" s="1"/>
  <c r="AG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AF28" i="20" s="1"/>
  <c r="AG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AG26" i="20"/>
  <c r="T26" i="20" s="1"/>
  <c r="AE26" i="20"/>
  <c r="AD26" i="20"/>
  <c r="AC26" i="20"/>
  <c r="AB26" i="20"/>
  <c r="AA26" i="20"/>
  <c r="Z26" i="20"/>
  <c r="Y26" i="20"/>
  <c r="X26" i="20"/>
  <c r="W26" i="20"/>
  <c r="V26" i="20"/>
  <c r="U26" i="20"/>
  <c r="AG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AG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AF24" i="20" s="1"/>
  <c r="AG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AG22" i="20"/>
  <c r="T22" i="20" s="1"/>
  <c r="AF22" i="20" s="1"/>
  <c r="AE22" i="20"/>
  <c r="AD22" i="20"/>
  <c r="AC22" i="20"/>
  <c r="AB22" i="20"/>
  <c r="AA22" i="20"/>
  <c r="Z22" i="20"/>
  <c r="Y22" i="20"/>
  <c r="X22" i="20"/>
  <c r="W22" i="20"/>
  <c r="V22" i="20"/>
  <c r="U22" i="20"/>
  <c r="AG21" i="20"/>
  <c r="V21" i="20"/>
  <c r="W21" i="20" s="1"/>
  <c r="X21" i="20" s="1"/>
  <c r="Y21" i="20" s="1"/>
  <c r="Z21" i="20" s="1"/>
  <c r="AA21" i="20" s="1"/>
  <c r="AB21" i="20" s="1"/>
  <c r="AC21" i="20" s="1"/>
  <c r="AD21" i="20" s="1"/>
  <c r="AE21" i="20" s="1"/>
  <c r="T21" i="20"/>
  <c r="U21" i="20" s="1"/>
  <c r="AG20" i="20"/>
  <c r="T20" i="20" s="1"/>
  <c r="AE20" i="20"/>
  <c r="AD20" i="20"/>
  <c r="AC20" i="20"/>
  <c r="AB20" i="20"/>
  <c r="AA20" i="20"/>
  <c r="Z20" i="20"/>
  <c r="Y20" i="20"/>
  <c r="X20" i="20"/>
  <c r="W20" i="20"/>
  <c r="V20" i="20"/>
  <c r="U20" i="20"/>
  <c r="AG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AG18" i="20"/>
  <c r="AD18" i="20"/>
  <c r="AC18" i="20"/>
  <c r="AB18" i="20"/>
  <c r="AA18" i="20"/>
  <c r="Z18" i="20"/>
  <c r="Y18" i="20"/>
  <c r="X18" i="20"/>
  <c r="W18" i="20"/>
  <c r="AF18" i="20" s="1"/>
  <c r="V18" i="20"/>
  <c r="U18" i="20"/>
  <c r="T18" i="20"/>
  <c r="AG17" i="20"/>
  <c r="T17" i="20" s="1"/>
  <c r="AF17" i="20" s="1"/>
  <c r="AE17" i="20"/>
  <c r="AD17" i="20"/>
  <c r="AC17" i="20"/>
  <c r="AB17" i="20"/>
  <c r="AA17" i="20"/>
  <c r="Z17" i="20"/>
  <c r="Y17" i="20"/>
  <c r="X17" i="20"/>
  <c r="W17" i="20"/>
  <c r="V17" i="20"/>
  <c r="U17" i="20"/>
  <c r="AG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AF16" i="20" s="1"/>
  <c r="AG15" i="20"/>
  <c r="AE15" i="20"/>
  <c r="T15" i="20"/>
  <c r="AF15" i="20" s="1"/>
  <c r="AG14" i="20"/>
  <c r="T14" i="20" s="1"/>
  <c r="AE14" i="20"/>
  <c r="AD14" i="20"/>
  <c r="AC14" i="20"/>
  <c r="AB14" i="20"/>
  <c r="AA14" i="20"/>
  <c r="Z14" i="20"/>
  <c r="Y14" i="20"/>
  <c r="X14" i="20"/>
  <c r="W14" i="20"/>
  <c r="V14" i="20"/>
  <c r="U14" i="20"/>
  <c r="AG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T8" i="20"/>
  <c r="M3" i="20"/>
  <c r="L3" i="20"/>
  <c r="K3" i="20"/>
  <c r="J3" i="20"/>
  <c r="I3" i="20"/>
  <c r="H3" i="20"/>
  <c r="G3" i="20"/>
  <c r="F3" i="20"/>
  <c r="E3" i="20"/>
  <c r="D3" i="20"/>
  <c r="C3" i="20"/>
  <c r="B3" i="20"/>
  <c r="B4" i="20" s="1"/>
  <c r="U46" i="20" l="1"/>
  <c r="AA46" i="20"/>
  <c r="B6" i="20"/>
  <c r="C2" i="20" s="1"/>
  <c r="B5" i="20"/>
  <c r="U59" i="20"/>
  <c r="AB46" i="20"/>
  <c r="X54" i="20"/>
  <c r="Y54" i="20" s="1"/>
  <c r="Z54" i="20" s="1"/>
  <c r="AA54" i="20" s="1"/>
  <c r="AB54" i="20" s="1"/>
  <c r="AC54" i="20" s="1"/>
  <c r="AD54" i="20" s="1"/>
  <c r="AE54" i="20" s="1"/>
  <c r="AF55" i="20"/>
  <c r="U55" i="20"/>
  <c r="V55" i="20" s="1"/>
  <c r="W55" i="20" s="1"/>
  <c r="X55" i="20" s="1"/>
  <c r="Y55" i="20" s="1"/>
  <c r="Z55" i="20" s="1"/>
  <c r="AA55" i="20" s="1"/>
  <c r="AB55" i="20" s="1"/>
  <c r="AC55" i="20" s="1"/>
  <c r="AD55" i="20" s="1"/>
  <c r="AE55" i="20" s="1"/>
  <c r="AF20" i="20"/>
  <c r="AF26" i="20"/>
  <c r="X41" i="20"/>
  <c r="X42" i="20" s="1"/>
  <c r="AB41" i="20"/>
  <c r="N3" i="20"/>
  <c r="AE42" i="20"/>
  <c r="AF13" i="20"/>
  <c r="AF19" i="20"/>
  <c r="AF25" i="20"/>
  <c r="AF35" i="20"/>
  <c r="Z41" i="20"/>
  <c r="Z42" i="20" s="1"/>
  <c r="AD42" i="20"/>
  <c r="AD41" i="20"/>
  <c r="AC42" i="20"/>
  <c r="AF40" i="20"/>
  <c r="Y41" i="20"/>
  <c r="Y42" i="20" s="1"/>
  <c r="T42" i="20"/>
  <c r="AF14" i="20"/>
  <c r="AF23" i="20"/>
  <c r="U42" i="20"/>
  <c r="W41" i="20"/>
  <c r="W42" i="20" s="1"/>
  <c r="AA41" i="20"/>
  <c r="AA42" i="20" s="1"/>
  <c r="AF38" i="20"/>
  <c r="AF47" i="20"/>
  <c r="AF27" i="20"/>
  <c r="AF32" i="20"/>
  <c r="AE41" i="20"/>
  <c r="AF43" i="20"/>
  <c r="AF49" i="20"/>
  <c r="AF53" i="20"/>
  <c r="AF21" i="20"/>
  <c r="AF29" i="20"/>
  <c r="V41" i="20"/>
  <c r="AF45" i="20"/>
  <c r="C26" i="5"/>
  <c r="C27" i="5"/>
  <c r="D26" i="5"/>
  <c r="D27" i="5"/>
  <c r="V59" i="20" l="1"/>
  <c r="AB42" i="20"/>
  <c r="AB59" i="20" s="1"/>
  <c r="AA59" i="20"/>
  <c r="W46" i="20"/>
  <c r="AC46" i="20"/>
  <c r="AF41" i="20"/>
  <c r="C5" i="20"/>
  <c r="C8" i="20" s="1"/>
  <c r="U11" i="20" s="1"/>
  <c r="U62" i="20" s="1"/>
  <c r="C4" i="20"/>
  <c r="C6" i="20" s="1"/>
  <c r="D2" i="20" s="1"/>
  <c r="AF42" i="20"/>
  <c r="T59" i="20"/>
  <c r="V42" i="20"/>
  <c r="B8" i="20"/>
  <c r="AF54" i="20"/>
  <c r="D27" i="4"/>
  <c r="E27" i="4"/>
  <c r="F27" i="4"/>
  <c r="G27" i="4"/>
  <c r="C27" i="4"/>
  <c r="AD46" i="20" l="1"/>
  <c r="AD59" i="20" s="1"/>
  <c r="D4" i="20"/>
  <c r="D5" i="20"/>
  <c r="T11" i="20"/>
  <c r="X46" i="20"/>
  <c r="X59" i="20" s="1"/>
  <c r="I18" i="6"/>
  <c r="I17" i="6"/>
  <c r="I16" i="6"/>
  <c r="I15" i="6"/>
  <c r="I14" i="6"/>
  <c r="I13" i="6"/>
  <c r="G17" i="6"/>
  <c r="U40" i="18"/>
  <c r="T40" i="18"/>
  <c r="X40" i="18"/>
  <c r="W40" i="18"/>
  <c r="V40" i="18"/>
  <c r="AB40" i="18"/>
  <c r="AA40" i="18"/>
  <c r="Z40" i="18"/>
  <c r="AD40" i="18"/>
  <c r="AC40" i="18"/>
  <c r="AE40" i="18"/>
  <c r="Y46" i="20" l="1"/>
  <c r="Y59" i="20"/>
  <c r="D8" i="20"/>
  <c r="AF44" i="20"/>
  <c r="T62" i="20"/>
  <c r="T64" i="20" s="1"/>
  <c r="U8" i="20" s="1"/>
  <c r="U64" i="20" s="1"/>
  <c r="V8" i="20" s="1"/>
  <c r="D6" i="20"/>
  <c r="E2" i="20" s="1"/>
  <c r="AE46" i="20"/>
  <c r="AE59" i="20"/>
  <c r="AH40" i="15"/>
  <c r="C5" i="10"/>
  <c r="B5" i="10"/>
  <c r="T8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AG13" i="10"/>
  <c r="U14" i="10"/>
  <c r="V14" i="10"/>
  <c r="W14" i="10"/>
  <c r="X14" i="10"/>
  <c r="Y14" i="10"/>
  <c r="Z14" i="10"/>
  <c r="AA14" i="10"/>
  <c r="AB14" i="10"/>
  <c r="AC14" i="10"/>
  <c r="AD14" i="10"/>
  <c r="AE14" i="10"/>
  <c r="AG14" i="10"/>
  <c r="T14" i="10" s="1"/>
  <c r="T15" i="10"/>
  <c r="AF15" i="10" s="1"/>
  <c r="AE15" i="10"/>
  <c r="AG15" i="10"/>
  <c r="T16" i="10"/>
  <c r="U16" i="10"/>
  <c r="V16" i="10"/>
  <c r="W16" i="10"/>
  <c r="X16" i="10"/>
  <c r="Y16" i="10"/>
  <c r="Z16" i="10"/>
  <c r="AA16" i="10"/>
  <c r="AB16" i="10"/>
  <c r="AC16" i="10"/>
  <c r="AD16" i="10"/>
  <c r="AE16" i="10"/>
  <c r="AF16" i="10"/>
  <c r="AG16" i="10"/>
  <c r="U17" i="10"/>
  <c r="V17" i="10"/>
  <c r="W17" i="10"/>
  <c r="X17" i="10"/>
  <c r="Y17" i="10"/>
  <c r="Z17" i="10"/>
  <c r="AA17" i="10"/>
  <c r="AB17" i="10"/>
  <c r="AC17" i="10"/>
  <c r="AD17" i="10"/>
  <c r="AE17" i="10"/>
  <c r="AG17" i="10"/>
  <c r="T17" i="10" s="1"/>
  <c r="T18" i="10"/>
  <c r="U18" i="10"/>
  <c r="V18" i="10"/>
  <c r="W18" i="10"/>
  <c r="X18" i="10"/>
  <c r="Y18" i="10"/>
  <c r="Z18" i="10"/>
  <c r="AA18" i="10"/>
  <c r="AB18" i="10"/>
  <c r="AC18" i="10"/>
  <c r="AD18" i="10"/>
  <c r="AG18" i="10"/>
  <c r="U19" i="10"/>
  <c r="V19" i="10"/>
  <c r="W19" i="10"/>
  <c r="X19" i="10"/>
  <c r="Y19" i="10"/>
  <c r="Z19" i="10"/>
  <c r="AA19" i="10"/>
  <c r="AB19" i="10"/>
  <c r="AC19" i="10"/>
  <c r="AD19" i="10"/>
  <c r="AE19" i="10"/>
  <c r="AG19" i="10"/>
  <c r="T19" i="10" s="1"/>
  <c r="U20" i="10"/>
  <c r="V20" i="10"/>
  <c r="W20" i="10"/>
  <c r="X20" i="10"/>
  <c r="Y20" i="10"/>
  <c r="Z20" i="10"/>
  <c r="AA20" i="10"/>
  <c r="AB20" i="10"/>
  <c r="AC20" i="10"/>
  <c r="AD20" i="10"/>
  <c r="AE20" i="10"/>
  <c r="AG20" i="10"/>
  <c r="T20" i="10" s="1"/>
  <c r="AG21" i="10"/>
  <c r="T21" i="10" s="1"/>
  <c r="U22" i="10"/>
  <c r="V22" i="10"/>
  <c r="W22" i="10"/>
  <c r="X22" i="10"/>
  <c r="Y22" i="10"/>
  <c r="Z22" i="10"/>
  <c r="AA22" i="10"/>
  <c r="AB22" i="10"/>
  <c r="AC22" i="10"/>
  <c r="AD22" i="10"/>
  <c r="AE22" i="10"/>
  <c r="AG22" i="10"/>
  <c r="T22" i="10" s="1"/>
  <c r="U23" i="10"/>
  <c r="V23" i="10"/>
  <c r="W23" i="10"/>
  <c r="X23" i="10"/>
  <c r="Y23" i="10"/>
  <c r="Z23" i="10"/>
  <c r="AA23" i="10"/>
  <c r="AB23" i="10"/>
  <c r="AC23" i="10"/>
  <c r="AD23" i="10"/>
  <c r="AE23" i="10"/>
  <c r="AG23" i="10"/>
  <c r="T23" i="10" s="1"/>
  <c r="AF23" i="10" s="1"/>
  <c r="U24" i="10"/>
  <c r="V24" i="10"/>
  <c r="W24" i="10"/>
  <c r="X24" i="10"/>
  <c r="Y24" i="10"/>
  <c r="Z24" i="10"/>
  <c r="AA24" i="10"/>
  <c r="AB24" i="10"/>
  <c r="AC24" i="10"/>
  <c r="AD24" i="10"/>
  <c r="AE24" i="10"/>
  <c r="AG24" i="10"/>
  <c r="T24" i="10" s="1"/>
  <c r="U25" i="10"/>
  <c r="V25" i="10"/>
  <c r="W25" i="10"/>
  <c r="X25" i="10"/>
  <c r="Y25" i="10"/>
  <c r="Z25" i="10"/>
  <c r="AA25" i="10"/>
  <c r="AB25" i="10"/>
  <c r="AC25" i="10"/>
  <c r="AD25" i="10"/>
  <c r="AE25" i="10"/>
  <c r="AG25" i="10"/>
  <c r="T25" i="10" s="1"/>
  <c r="AF25" i="10" s="1"/>
  <c r="U26" i="10"/>
  <c r="V26" i="10"/>
  <c r="W26" i="10"/>
  <c r="X26" i="10"/>
  <c r="Y26" i="10"/>
  <c r="Z26" i="10"/>
  <c r="AA26" i="10"/>
  <c r="AB26" i="10"/>
  <c r="AC26" i="10"/>
  <c r="AD26" i="10"/>
  <c r="AE26" i="10"/>
  <c r="AG26" i="10"/>
  <c r="T26" i="10" s="1"/>
  <c r="U27" i="10"/>
  <c r="V27" i="10"/>
  <c r="W27" i="10"/>
  <c r="X27" i="10"/>
  <c r="Y27" i="10"/>
  <c r="Z27" i="10"/>
  <c r="AA27" i="10"/>
  <c r="AB27" i="10"/>
  <c r="AC27" i="10"/>
  <c r="AD27" i="10"/>
  <c r="AE27" i="10"/>
  <c r="AG27" i="10"/>
  <c r="T27" i="10" s="1"/>
  <c r="AF27" i="10" s="1"/>
  <c r="U28" i="10"/>
  <c r="V28" i="10"/>
  <c r="W28" i="10"/>
  <c r="X28" i="10"/>
  <c r="Y28" i="10"/>
  <c r="Z28" i="10"/>
  <c r="AA28" i="10"/>
  <c r="AB28" i="10"/>
  <c r="AC28" i="10"/>
  <c r="AD28" i="10"/>
  <c r="AE28" i="10"/>
  <c r="AG28" i="10"/>
  <c r="T28" i="10" s="1"/>
  <c r="AG29" i="10"/>
  <c r="T29" i="10" s="1"/>
  <c r="U30" i="10"/>
  <c r="V30" i="10"/>
  <c r="W30" i="10"/>
  <c r="X30" i="10"/>
  <c r="Y30" i="10"/>
  <c r="Z30" i="10"/>
  <c r="AA30" i="10"/>
  <c r="AB30" i="10"/>
  <c r="AC30" i="10"/>
  <c r="AD30" i="10"/>
  <c r="AE30" i="10"/>
  <c r="AG30" i="10"/>
  <c r="T30" i="10" s="1"/>
  <c r="U31" i="10"/>
  <c r="V31" i="10"/>
  <c r="W31" i="10"/>
  <c r="X31" i="10"/>
  <c r="Y31" i="10"/>
  <c r="Z31" i="10"/>
  <c r="AA31" i="10"/>
  <c r="AB31" i="10"/>
  <c r="AC31" i="10"/>
  <c r="AD31" i="10"/>
  <c r="AE31" i="10"/>
  <c r="AG31" i="10"/>
  <c r="T31" i="10" s="1"/>
  <c r="AF31" i="10" s="1"/>
  <c r="U32" i="10"/>
  <c r="V32" i="10"/>
  <c r="W32" i="10"/>
  <c r="X32" i="10"/>
  <c r="Y32" i="10"/>
  <c r="Z32" i="10"/>
  <c r="AA32" i="10"/>
  <c r="AB32" i="10"/>
  <c r="AC32" i="10"/>
  <c r="AD32" i="10"/>
  <c r="AE32" i="10"/>
  <c r="AG32" i="10"/>
  <c r="T32" i="10" s="1"/>
  <c r="U33" i="10"/>
  <c r="V33" i="10"/>
  <c r="W33" i="10"/>
  <c r="X33" i="10"/>
  <c r="Y33" i="10"/>
  <c r="Z33" i="10"/>
  <c r="AA33" i="10"/>
  <c r="AB33" i="10"/>
  <c r="AC33" i="10"/>
  <c r="AD33" i="10"/>
  <c r="AE33" i="10"/>
  <c r="AG33" i="10"/>
  <c r="T33" i="10" s="1"/>
  <c r="AF33" i="10" s="1"/>
  <c r="T35" i="10"/>
  <c r="V35" i="10"/>
  <c r="AE35" i="10"/>
  <c r="AE42" i="10" s="1"/>
  <c r="AG35" i="10"/>
  <c r="U35" i="10" s="1"/>
  <c r="V36" i="10"/>
  <c r="AE36" i="10"/>
  <c r="AG36" i="10"/>
  <c r="T36" i="10" s="1"/>
  <c r="AF37" i="10"/>
  <c r="AG37" i="10"/>
  <c r="AF38" i="10"/>
  <c r="AG38" i="10"/>
  <c r="AF39" i="10"/>
  <c r="AG39" i="10"/>
  <c r="AF40" i="10"/>
  <c r="AG40" i="10"/>
  <c r="T41" i="10"/>
  <c r="W41" i="10"/>
  <c r="W42" i="10" s="1"/>
  <c r="X41" i="10"/>
  <c r="X42" i="10" s="1"/>
  <c r="Y41" i="10"/>
  <c r="Z41" i="10"/>
  <c r="Z42" i="10" s="1"/>
  <c r="AA41" i="10"/>
  <c r="AA42" i="10" s="1"/>
  <c r="AB41" i="10"/>
  <c r="AB42" i="10" s="1"/>
  <c r="AC41" i="10"/>
  <c r="AD41" i="10"/>
  <c r="AD42" i="10" s="1"/>
  <c r="AE41" i="10"/>
  <c r="AH41" i="10"/>
  <c r="AG41" i="10" s="1"/>
  <c r="Y42" i="10"/>
  <c r="AC42" i="10"/>
  <c r="AG42" i="10"/>
  <c r="U43" i="10"/>
  <c r="V43" i="10"/>
  <c r="W43" i="10"/>
  <c r="X43" i="10"/>
  <c r="Y43" i="10"/>
  <c r="Z43" i="10"/>
  <c r="AA43" i="10"/>
  <c r="AB43" i="10"/>
  <c r="AC43" i="10"/>
  <c r="AD43" i="10"/>
  <c r="AE43" i="10"/>
  <c r="AG43" i="10"/>
  <c r="T43" i="10" s="1"/>
  <c r="AF43" i="10" s="1"/>
  <c r="V44" i="10"/>
  <c r="V46" i="10" s="1"/>
  <c r="W44" i="10"/>
  <c r="AB44" i="10"/>
  <c r="AC44" i="10"/>
  <c r="AG44" i="10"/>
  <c r="V45" i="10"/>
  <c r="W45" i="10"/>
  <c r="X45" i="10"/>
  <c r="Y45" i="10"/>
  <c r="AB45" i="10"/>
  <c r="AC45" i="10"/>
  <c r="AD45" i="10"/>
  <c r="AE45" i="10"/>
  <c r="AH45" i="10"/>
  <c r="AG45" i="10" s="1"/>
  <c r="T46" i="10"/>
  <c r="U46" i="10"/>
  <c r="Z46" i="10"/>
  <c r="AA46" i="10"/>
  <c r="AB46" i="10"/>
  <c r="AG46" i="10"/>
  <c r="AG47" i="10"/>
  <c r="T47" i="10" s="1"/>
  <c r="T48" i="10"/>
  <c r="U48" i="10"/>
  <c r="V48" i="10"/>
  <c r="W48" i="10"/>
  <c r="X48" i="10"/>
  <c r="Z48" i="10"/>
  <c r="AA48" i="10"/>
  <c r="AB48" i="10"/>
  <c r="AC48" i="10"/>
  <c r="AD48" i="10"/>
  <c r="AE48" i="10"/>
  <c r="AG48" i="10"/>
  <c r="U49" i="10"/>
  <c r="V49" i="10"/>
  <c r="W49" i="10"/>
  <c r="X49" i="10"/>
  <c r="Y49" i="10"/>
  <c r="Z49" i="10"/>
  <c r="AA49" i="10"/>
  <c r="AB49" i="10"/>
  <c r="AC49" i="10"/>
  <c r="AD49" i="10"/>
  <c r="AE49" i="10"/>
  <c r="AG49" i="10"/>
  <c r="T49" i="10" s="1"/>
  <c r="U50" i="10"/>
  <c r="V50" i="10"/>
  <c r="W50" i="10"/>
  <c r="X50" i="10"/>
  <c r="Y50" i="10"/>
  <c r="Z50" i="10"/>
  <c r="AA50" i="10"/>
  <c r="AB50" i="10"/>
  <c r="AC50" i="10"/>
  <c r="AD50" i="10"/>
  <c r="AE50" i="10"/>
  <c r="AG50" i="10"/>
  <c r="T50" i="10" s="1"/>
  <c r="U51" i="10"/>
  <c r="V51" i="10"/>
  <c r="W51" i="10"/>
  <c r="X51" i="10"/>
  <c r="Y51" i="10"/>
  <c r="Z51" i="10"/>
  <c r="AA51" i="10"/>
  <c r="AB51" i="10"/>
  <c r="AC51" i="10"/>
  <c r="AD51" i="10"/>
  <c r="AE51" i="10"/>
  <c r="AG51" i="10"/>
  <c r="T51" i="10" s="1"/>
  <c r="AB52" i="10"/>
  <c r="AG53" i="10"/>
  <c r="T53" i="10" s="1"/>
  <c r="T54" i="10"/>
  <c r="U54" i="10" s="1"/>
  <c r="V54" i="10" s="1"/>
  <c r="W54" i="10" s="1"/>
  <c r="X54" i="10" s="1"/>
  <c r="Y54" i="10" s="1"/>
  <c r="Z54" i="10" s="1"/>
  <c r="AA54" i="10" s="1"/>
  <c r="AB54" i="10" s="1"/>
  <c r="AC54" i="10" s="1"/>
  <c r="AD54" i="10" s="1"/>
  <c r="AE54" i="10" s="1"/>
  <c r="AG54" i="10"/>
  <c r="AG55" i="10"/>
  <c r="T55" i="10" s="1"/>
  <c r="AF56" i="10"/>
  <c r="AG56" i="10" s="1"/>
  <c r="AF57" i="10"/>
  <c r="AG57" i="10"/>
  <c r="AF58" i="10"/>
  <c r="AG58" i="10" s="1"/>
  <c r="AG68" i="10"/>
  <c r="AG68" i="18"/>
  <c r="AF58" i="18"/>
  <c r="AG58" i="18" s="1"/>
  <c r="AF57" i="18"/>
  <c r="AG57" i="18" s="1"/>
  <c r="AF56" i="18"/>
  <c r="AG56" i="18" s="1"/>
  <c r="AG55" i="18"/>
  <c r="T55" i="18"/>
  <c r="AG54" i="18"/>
  <c r="T54" i="18"/>
  <c r="U54" i="18" s="1"/>
  <c r="AG53" i="18"/>
  <c r="T53" i="18"/>
  <c r="AF52" i="18"/>
  <c r="AG52" i="18" s="1"/>
  <c r="AB52" i="18"/>
  <c r="AG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AF51" i="18" s="1"/>
  <c r="AG50" i="18"/>
  <c r="T50" i="18" s="1"/>
  <c r="AF50" i="18" s="1"/>
  <c r="AE50" i="18"/>
  <c r="AD50" i="18"/>
  <c r="AC50" i="18"/>
  <c r="AB50" i="18"/>
  <c r="AA50" i="18"/>
  <c r="Z50" i="18"/>
  <c r="Y50" i="18"/>
  <c r="X50" i="18"/>
  <c r="W50" i="18"/>
  <c r="V50" i="18"/>
  <c r="U50" i="18"/>
  <c r="AG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AF49" i="18" s="1"/>
  <c r="AG48" i="18"/>
  <c r="T48" i="18" s="1"/>
  <c r="AF48" i="18" s="1"/>
  <c r="AE48" i="18"/>
  <c r="AD48" i="18"/>
  <c r="AC48" i="18"/>
  <c r="AB48" i="18"/>
  <c r="AA48" i="18"/>
  <c r="Z48" i="18"/>
  <c r="X48" i="18"/>
  <c r="W48" i="18"/>
  <c r="V48" i="18"/>
  <c r="U48" i="18"/>
  <c r="AG47" i="18"/>
  <c r="T47" i="18"/>
  <c r="AG46" i="18"/>
  <c r="AA46" i="18"/>
  <c r="Z46" i="18"/>
  <c r="U46" i="18"/>
  <c r="T46" i="18"/>
  <c r="AH45" i="18"/>
  <c r="AG45" i="18"/>
  <c r="AB45" i="18"/>
  <c r="AC45" i="18" s="1"/>
  <c r="AD45" i="18" s="1"/>
  <c r="AE45" i="18" s="1"/>
  <c r="V45" i="18"/>
  <c r="W45" i="18" s="1"/>
  <c r="X45" i="18" s="1"/>
  <c r="Y45" i="18" s="1"/>
  <c r="AG44" i="18"/>
  <c r="AD44" i="18"/>
  <c r="AC44" i="18"/>
  <c r="AB44" i="18"/>
  <c r="W44" i="18"/>
  <c r="W46" i="18" s="1"/>
  <c r="V44" i="18"/>
  <c r="AG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AF43" i="18" s="1"/>
  <c r="AG42" i="18"/>
  <c r="Z42" i="18"/>
  <c r="Y42" i="18"/>
  <c r="AH41" i="18"/>
  <c r="AG41" i="18" s="1"/>
  <c r="AD41" i="18"/>
  <c r="AD42" i="18" s="1"/>
  <c r="AC41" i="18"/>
  <c r="AC42" i="18" s="1"/>
  <c r="AB41" i="18"/>
  <c r="AB42" i="18" s="1"/>
  <c r="AA41" i="18"/>
  <c r="AA42" i="18" s="1"/>
  <c r="Z41" i="18"/>
  <c r="Y41" i="18"/>
  <c r="X41" i="18"/>
  <c r="X42" i="18" s="1"/>
  <c r="W41" i="18"/>
  <c r="W42" i="18" s="1"/>
  <c r="U41" i="18"/>
  <c r="U42" i="18" s="1"/>
  <c r="AG40" i="18"/>
  <c r="AF40" i="18"/>
  <c r="AG39" i="18"/>
  <c r="AF39" i="18"/>
  <c r="AG38" i="18"/>
  <c r="AF38" i="18"/>
  <c r="AG37" i="18"/>
  <c r="AF37" i="18"/>
  <c r="AG36" i="18"/>
  <c r="AE36" i="18"/>
  <c r="V36" i="18"/>
  <c r="U36" i="18"/>
  <c r="T36" i="18"/>
  <c r="AF36" i="18" s="1"/>
  <c r="AG35" i="18"/>
  <c r="AE35" i="18"/>
  <c r="V35" i="18"/>
  <c r="V41" i="18" s="1"/>
  <c r="U35" i="18"/>
  <c r="T35" i="18"/>
  <c r="T41" i="18" s="1"/>
  <c r="AG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AF33" i="18" s="1"/>
  <c r="AG32" i="18"/>
  <c r="T32" i="18" s="1"/>
  <c r="AE32" i="18"/>
  <c r="AD32" i="18"/>
  <c r="AC32" i="18"/>
  <c r="AB32" i="18"/>
  <c r="AA32" i="18"/>
  <c r="Z32" i="18"/>
  <c r="Y32" i="18"/>
  <c r="X32" i="18"/>
  <c r="W32" i="18"/>
  <c r="V32" i="18"/>
  <c r="U32" i="18"/>
  <c r="AG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AF31" i="18" s="1"/>
  <c r="AG30" i="18"/>
  <c r="T30" i="18" s="1"/>
  <c r="AE30" i="18"/>
  <c r="AD30" i="18"/>
  <c r="AC30" i="18"/>
  <c r="AB30" i="18"/>
  <c r="AA30" i="18"/>
  <c r="Z30" i="18"/>
  <c r="Y30" i="18"/>
  <c r="X30" i="18"/>
  <c r="W30" i="18"/>
  <c r="V30" i="18"/>
  <c r="U30" i="18"/>
  <c r="AG29" i="18"/>
  <c r="T29" i="18"/>
  <c r="U29" i="18" s="1"/>
  <c r="V29" i="18" s="1"/>
  <c r="W29" i="18" s="1"/>
  <c r="X29" i="18" s="1"/>
  <c r="Y29" i="18" s="1"/>
  <c r="Z29" i="18" s="1"/>
  <c r="AA29" i="18" s="1"/>
  <c r="AB29" i="18" s="1"/>
  <c r="AC29" i="18" s="1"/>
  <c r="AD29" i="18" s="1"/>
  <c r="AE29" i="18" s="1"/>
  <c r="AG28" i="18"/>
  <c r="T28" i="18" s="1"/>
  <c r="AE28" i="18"/>
  <c r="AD28" i="18"/>
  <c r="AC28" i="18"/>
  <c r="AB28" i="18"/>
  <c r="AA28" i="18"/>
  <c r="Z28" i="18"/>
  <c r="Y28" i="18"/>
  <c r="X28" i="18"/>
  <c r="W28" i="18"/>
  <c r="V28" i="18"/>
  <c r="U28" i="18"/>
  <c r="AG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AF27" i="18" s="1"/>
  <c r="AG26" i="18"/>
  <c r="T26" i="18" s="1"/>
  <c r="AE26" i="18"/>
  <c r="AD26" i="18"/>
  <c r="AC26" i="18"/>
  <c r="AB26" i="18"/>
  <c r="AA26" i="18"/>
  <c r="Z26" i="18"/>
  <c r="Y26" i="18"/>
  <c r="X26" i="18"/>
  <c r="W26" i="18"/>
  <c r="V26" i="18"/>
  <c r="U26" i="18"/>
  <c r="AG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AF25" i="18" s="1"/>
  <c r="AG24" i="18"/>
  <c r="T24" i="18" s="1"/>
  <c r="AE24" i="18"/>
  <c r="AD24" i="18"/>
  <c r="AC24" i="18"/>
  <c r="AB24" i="18"/>
  <c r="AA24" i="18"/>
  <c r="Z24" i="18"/>
  <c r="Y24" i="18"/>
  <c r="X24" i="18"/>
  <c r="W24" i="18"/>
  <c r="V24" i="18"/>
  <c r="U24" i="18"/>
  <c r="AG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AF23" i="18" s="1"/>
  <c r="AG22" i="18"/>
  <c r="T22" i="18" s="1"/>
  <c r="AE22" i="18"/>
  <c r="AD22" i="18"/>
  <c r="AC22" i="18"/>
  <c r="AB22" i="18"/>
  <c r="AA22" i="18"/>
  <c r="Z22" i="18"/>
  <c r="Y22" i="18"/>
  <c r="X22" i="18"/>
  <c r="W22" i="18"/>
  <c r="V22" i="18"/>
  <c r="U22" i="18"/>
  <c r="AG21" i="18"/>
  <c r="T21" i="18"/>
  <c r="U21" i="18" s="1"/>
  <c r="V21" i="18" s="1"/>
  <c r="W21" i="18" s="1"/>
  <c r="AG20" i="18"/>
  <c r="T20" i="18" s="1"/>
  <c r="AE20" i="18"/>
  <c r="AD20" i="18"/>
  <c r="AC20" i="18"/>
  <c r="AB20" i="18"/>
  <c r="AA20" i="18"/>
  <c r="Z20" i="18"/>
  <c r="Y20" i="18"/>
  <c r="X20" i="18"/>
  <c r="W20" i="18"/>
  <c r="V20" i="18"/>
  <c r="U20" i="18"/>
  <c r="AG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AF19" i="18" s="1"/>
  <c r="AG18" i="18"/>
  <c r="AD18" i="18"/>
  <c r="AC18" i="18"/>
  <c r="AB18" i="18"/>
  <c r="AA18" i="18"/>
  <c r="Z18" i="18"/>
  <c r="Y18" i="18"/>
  <c r="X18" i="18"/>
  <c r="W18" i="18"/>
  <c r="V18" i="18"/>
  <c r="U18" i="18"/>
  <c r="T18" i="18"/>
  <c r="AF18" i="18" s="1"/>
  <c r="AG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AG16" i="18"/>
  <c r="T16" i="18" s="1"/>
  <c r="AF16" i="18" s="1"/>
  <c r="AE16" i="18"/>
  <c r="AD16" i="18"/>
  <c r="AC16" i="18"/>
  <c r="AB16" i="18"/>
  <c r="AA16" i="18"/>
  <c r="Z16" i="18"/>
  <c r="Y16" i="18"/>
  <c r="X16" i="18"/>
  <c r="W16" i="18"/>
  <c r="V16" i="18"/>
  <c r="U16" i="18"/>
  <c r="AG15" i="18"/>
  <c r="AE15" i="18"/>
  <c r="T15" i="18"/>
  <c r="AF15" i="18" s="1"/>
  <c r="AG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AG13" i="18"/>
  <c r="AE13" i="18"/>
  <c r="AD13" i="18"/>
  <c r="AC13" i="18"/>
  <c r="AB13" i="18"/>
  <c r="AA13" i="18"/>
  <c r="Z13" i="18"/>
  <c r="Y13" i="18"/>
  <c r="X13" i="18"/>
  <c r="W13" i="18"/>
  <c r="V13" i="18"/>
  <c r="U13" i="18"/>
  <c r="T8" i="18"/>
  <c r="B5" i="18"/>
  <c r="B8" i="18" s="1"/>
  <c r="B4" i="18"/>
  <c r="B6" i="18" s="1"/>
  <c r="C2" i="18" s="1"/>
  <c r="C4" i="18" s="1"/>
  <c r="M3" i="18"/>
  <c r="L3" i="18"/>
  <c r="K3" i="18"/>
  <c r="J3" i="18"/>
  <c r="I3" i="18"/>
  <c r="H3" i="18"/>
  <c r="G3" i="18"/>
  <c r="F3" i="18"/>
  <c r="E3" i="18"/>
  <c r="D3" i="18"/>
  <c r="C3" i="18"/>
  <c r="B3" i="18"/>
  <c r="N3" i="18" s="1"/>
  <c r="B5" i="15"/>
  <c r="AH36" i="15"/>
  <c r="AH35" i="15"/>
  <c r="AH39" i="15"/>
  <c r="AH52" i="16"/>
  <c r="AH40" i="16"/>
  <c r="AH39" i="16"/>
  <c r="AG46" i="16"/>
  <c r="AG42" i="16"/>
  <c r="AG41" i="16"/>
  <c r="AG39" i="16"/>
  <c r="AE26" i="16"/>
  <c r="AF46" i="16"/>
  <c r="U46" i="16"/>
  <c r="V46" i="16"/>
  <c r="W46" i="16"/>
  <c r="X46" i="16"/>
  <c r="Y46" i="16"/>
  <c r="Z46" i="16"/>
  <c r="AA46" i="16"/>
  <c r="AB46" i="16"/>
  <c r="AC46" i="16"/>
  <c r="AD46" i="16"/>
  <c r="AE46" i="16"/>
  <c r="T46" i="16"/>
  <c r="U45" i="16"/>
  <c r="V45" i="16"/>
  <c r="W45" i="16"/>
  <c r="X45" i="16"/>
  <c r="Y45" i="16"/>
  <c r="Z45" i="16"/>
  <c r="AA45" i="16"/>
  <c r="AB45" i="16"/>
  <c r="AC45" i="16"/>
  <c r="AD45" i="16"/>
  <c r="AE45" i="16"/>
  <c r="T45" i="16"/>
  <c r="AF42" i="16"/>
  <c r="U42" i="16"/>
  <c r="V42" i="16"/>
  <c r="W42" i="16"/>
  <c r="X42" i="16"/>
  <c r="Y42" i="16"/>
  <c r="Z42" i="16"/>
  <c r="AA42" i="16"/>
  <c r="AB42" i="16"/>
  <c r="AC42" i="16"/>
  <c r="AD42" i="16"/>
  <c r="AE42" i="16"/>
  <c r="T42" i="16"/>
  <c r="U41" i="16"/>
  <c r="V41" i="16"/>
  <c r="W41" i="16"/>
  <c r="X41" i="16"/>
  <c r="Y41" i="16"/>
  <c r="Z41" i="16"/>
  <c r="AA41" i="16"/>
  <c r="AB41" i="16"/>
  <c r="AC41" i="16"/>
  <c r="AD41" i="16"/>
  <c r="AE41" i="16"/>
  <c r="T41" i="16"/>
  <c r="AF62" i="15"/>
  <c r="AF61" i="15"/>
  <c r="AG53" i="15"/>
  <c r="AG47" i="15"/>
  <c r="AG43" i="15"/>
  <c r="AG42" i="15"/>
  <c r="AE26" i="15"/>
  <c r="AF47" i="15"/>
  <c r="U47" i="15"/>
  <c r="V47" i="15"/>
  <c r="W47" i="15"/>
  <c r="X47" i="15"/>
  <c r="Y47" i="15"/>
  <c r="Z47" i="15"/>
  <c r="AA47" i="15"/>
  <c r="AB47" i="15"/>
  <c r="AC47" i="15"/>
  <c r="AD47" i="15"/>
  <c r="AE47" i="15"/>
  <c r="T47" i="15"/>
  <c r="AF43" i="15"/>
  <c r="U43" i="15"/>
  <c r="V43" i="15"/>
  <c r="W43" i="15"/>
  <c r="X43" i="15"/>
  <c r="Y43" i="15"/>
  <c r="Z43" i="15"/>
  <c r="AA43" i="15"/>
  <c r="AB43" i="15"/>
  <c r="AC43" i="15"/>
  <c r="AD43" i="15"/>
  <c r="AE43" i="15"/>
  <c r="T43" i="15"/>
  <c r="U42" i="15"/>
  <c r="V42" i="15"/>
  <c r="W42" i="15"/>
  <c r="X42" i="15"/>
  <c r="Y42" i="15"/>
  <c r="Z42" i="15"/>
  <c r="AA42" i="15"/>
  <c r="AB42" i="15"/>
  <c r="AC42" i="15"/>
  <c r="AD42" i="15"/>
  <c r="AE42" i="15"/>
  <c r="T42" i="15"/>
  <c r="X40" i="15"/>
  <c r="E4" i="20" l="1"/>
  <c r="E5" i="20"/>
  <c r="V11" i="20"/>
  <c r="AF46" i="20"/>
  <c r="V42" i="18"/>
  <c r="T42" i="10"/>
  <c r="AF54" i="10"/>
  <c r="U53" i="10"/>
  <c r="V53" i="10" s="1"/>
  <c r="W53" i="10" s="1"/>
  <c r="X53" i="10" s="1"/>
  <c r="Y53" i="10" s="1"/>
  <c r="Z53" i="10" s="1"/>
  <c r="AA53" i="10" s="1"/>
  <c r="AB53" i="10" s="1"/>
  <c r="AC53" i="10" s="1"/>
  <c r="AD53" i="10" s="1"/>
  <c r="AE53" i="10" s="1"/>
  <c r="AD44" i="10"/>
  <c r="AC46" i="10"/>
  <c r="AF35" i="10"/>
  <c r="U55" i="10"/>
  <c r="V55" i="10" s="1"/>
  <c r="W55" i="10" s="1"/>
  <c r="X55" i="10" s="1"/>
  <c r="Y55" i="10" s="1"/>
  <c r="Z55" i="10" s="1"/>
  <c r="AA55" i="10" s="1"/>
  <c r="AB55" i="10" s="1"/>
  <c r="AC55" i="10" s="1"/>
  <c r="AD55" i="10" s="1"/>
  <c r="AE55" i="10" s="1"/>
  <c r="AF51" i="10"/>
  <c r="AF50" i="10"/>
  <c r="AF49" i="10"/>
  <c r="U47" i="10"/>
  <c r="V47" i="10" s="1"/>
  <c r="W47" i="10" s="1"/>
  <c r="X47" i="10" s="1"/>
  <c r="Y47" i="10" s="1"/>
  <c r="Z47" i="10" s="1"/>
  <c r="AA47" i="10" s="1"/>
  <c r="AB47" i="10" s="1"/>
  <c r="AC47" i="10" s="1"/>
  <c r="AD47" i="10" s="1"/>
  <c r="AE47" i="10" s="1"/>
  <c r="X44" i="10"/>
  <c r="W46" i="10"/>
  <c r="V41" i="10"/>
  <c r="V42" i="10" s="1"/>
  <c r="AF14" i="10"/>
  <c r="AF18" i="10"/>
  <c r="AF48" i="10"/>
  <c r="AF45" i="10"/>
  <c r="AF32" i="10"/>
  <c r="AF30" i="10"/>
  <c r="U29" i="10"/>
  <c r="V29" i="10" s="1"/>
  <c r="W29" i="10" s="1"/>
  <c r="X29" i="10" s="1"/>
  <c r="Y29" i="10" s="1"/>
  <c r="Z29" i="10" s="1"/>
  <c r="AA29" i="10" s="1"/>
  <c r="AB29" i="10" s="1"/>
  <c r="AC29" i="10" s="1"/>
  <c r="AD29" i="10" s="1"/>
  <c r="AE29" i="10" s="1"/>
  <c r="AF28" i="10"/>
  <c r="AF26" i="10"/>
  <c r="AF24" i="10"/>
  <c r="AF22" i="10"/>
  <c r="U21" i="10"/>
  <c r="V21" i="10" s="1"/>
  <c r="W21" i="10" s="1"/>
  <c r="X21" i="10" s="1"/>
  <c r="Y21" i="10" s="1"/>
  <c r="AF20" i="10"/>
  <c r="AF19" i="10"/>
  <c r="AF17" i="10"/>
  <c r="U36" i="10"/>
  <c r="C6" i="18"/>
  <c r="D2" i="18" s="1"/>
  <c r="D4" i="18" s="1"/>
  <c r="V54" i="18"/>
  <c r="W54" i="18" s="1"/>
  <c r="X54" i="18" s="1"/>
  <c r="Y54" i="18" s="1"/>
  <c r="Z54" i="18" s="1"/>
  <c r="AA54" i="18" s="1"/>
  <c r="AB54" i="18" s="1"/>
  <c r="AC54" i="18" s="1"/>
  <c r="AD54" i="18" s="1"/>
  <c r="AE54" i="18" s="1"/>
  <c r="AF54" i="18"/>
  <c r="C5" i="18"/>
  <c r="T11" i="18"/>
  <c r="X21" i="18"/>
  <c r="Y21" i="18" s="1"/>
  <c r="Z21" i="18" s="1"/>
  <c r="AA21" i="18" s="1"/>
  <c r="AB21" i="18" s="1"/>
  <c r="AC21" i="18" s="1"/>
  <c r="AD21" i="18" s="1"/>
  <c r="AD46" i="18"/>
  <c r="AE44" i="18"/>
  <c r="AE46" i="18" s="1"/>
  <c r="AC46" i="18"/>
  <c r="AF14" i="18"/>
  <c r="AF20" i="18"/>
  <c r="AF22" i="18"/>
  <c r="AF26" i="18"/>
  <c r="AF32" i="18"/>
  <c r="X44" i="18"/>
  <c r="AF29" i="18"/>
  <c r="T42" i="18"/>
  <c r="AF35" i="18"/>
  <c r="AF45" i="18"/>
  <c r="AF53" i="18"/>
  <c r="T13" i="18"/>
  <c r="AF17" i="18"/>
  <c r="AF24" i="18"/>
  <c r="AF28" i="18"/>
  <c r="AF30" i="18"/>
  <c r="V46" i="18"/>
  <c r="AB46" i="18"/>
  <c r="AE41" i="18"/>
  <c r="AF41" i="18" s="1"/>
  <c r="U47" i="18"/>
  <c r="V47" i="18" s="1"/>
  <c r="W47" i="18" s="1"/>
  <c r="X47" i="18" s="1"/>
  <c r="Y47" i="18" s="1"/>
  <c r="Z47" i="18" s="1"/>
  <c r="AA47" i="18" s="1"/>
  <c r="AB47" i="18" s="1"/>
  <c r="AC47" i="18" s="1"/>
  <c r="AD47" i="18" s="1"/>
  <c r="AE47" i="18" s="1"/>
  <c r="U53" i="18"/>
  <c r="V53" i="18" s="1"/>
  <c r="W53" i="18" s="1"/>
  <c r="X53" i="18" s="1"/>
  <c r="Y53" i="18" s="1"/>
  <c r="Z53" i="18" s="1"/>
  <c r="AA53" i="18" s="1"/>
  <c r="AB53" i="18" s="1"/>
  <c r="AC53" i="18" s="1"/>
  <c r="AD53" i="18" s="1"/>
  <c r="AE53" i="18" s="1"/>
  <c r="U55" i="18"/>
  <c r="V55" i="18" s="1"/>
  <c r="W55" i="18" s="1"/>
  <c r="X55" i="18" s="1"/>
  <c r="Y55" i="18" s="1"/>
  <c r="Z55" i="18" s="1"/>
  <c r="AA55" i="18" s="1"/>
  <c r="AB55" i="18" s="1"/>
  <c r="AC55" i="18" s="1"/>
  <c r="AD55" i="18" s="1"/>
  <c r="AE55" i="18" s="1"/>
  <c r="AE40" i="16"/>
  <c r="AC40" i="16"/>
  <c r="AD40" i="16"/>
  <c r="AB40" i="16"/>
  <c r="AA40" i="16"/>
  <c r="Z40" i="16"/>
  <c r="Y40" i="16"/>
  <c r="AF39" i="16"/>
  <c r="E8" i="20" l="1"/>
  <c r="E6" i="20"/>
  <c r="F2" i="20" s="1"/>
  <c r="V62" i="20"/>
  <c r="V64" i="20" s="1"/>
  <c r="W8" i="20" s="1"/>
  <c r="W34" i="20"/>
  <c r="Z21" i="10"/>
  <c r="AF47" i="10"/>
  <c r="AF36" i="10"/>
  <c r="AE44" i="10"/>
  <c r="AE46" i="10" s="1"/>
  <c r="AD46" i="10"/>
  <c r="U41" i="10"/>
  <c r="AF41" i="10" s="1"/>
  <c r="AF53" i="10"/>
  <c r="AF29" i="10"/>
  <c r="Y44" i="10"/>
  <c r="X46" i="10"/>
  <c r="AF55" i="10"/>
  <c r="V59" i="10"/>
  <c r="T59" i="18"/>
  <c r="T62" i="18" s="1"/>
  <c r="T64" i="18" s="1"/>
  <c r="U8" i="18" s="1"/>
  <c r="AF13" i="18"/>
  <c r="V59" i="18"/>
  <c r="Y44" i="18"/>
  <c r="Y46" i="18" s="1"/>
  <c r="X46" i="18"/>
  <c r="AE21" i="18"/>
  <c r="AD59" i="18"/>
  <c r="AF44" i="18"/>
  <c r="AF55" i="18"/>
  <c r="AE42" i="18"/>
  <c r="AF42" i="18" s="1"/>
  <c r="AF21" i="18"/>
  <c r="AB59" i="18"/>
  <c r="D5" i="18"/>
  <c r="D8" i="18" s="1"/>
  <c r="V11" i="18" s="1"/>
  <c r="AF47" i="18"/>
  <c r="X59" i="18"/>
  <c r="U59" i="18"/>
  <c r="AA59" i="18"/>
  <c r="C8" i="18"/>
  <c r="D6" i="18"/>
  <c r="E2" i="18" s="1"/>
  <c r="W59" i="20" l="1"/>
  <c r="W11" i="20"/>
  <c r="F4" i="20"/>
  <c r="F5" i="20"/>
  <c r="V62" i="18"/>
  <c r="AE59" i="18"/>
  <c r="AF46" i="10"/>
  <c r="Y46" i="10"/>
  <c r="AF44" i="10"/>
  <c r="Y59" i="10"/>
  <c r="AA21" i="10"/>
  <c r="X59" i="10"/>
  <c r="U42" i="10"/>
  <c r="AF42" i="10" s="1"/>
  <c r="E4" i="18"/>
  <c r="E6" i="18" s="1"/>
  <c r="F2" i="18" s="1"/>
  <c r="E5" i="18"/>
  <c r="E8" i="18" s="1"/>
  <c r="W11" i="18" s="1"/>
  <c r="U11" i="18"/>
  <c r="Y59" i="18"/>
  <c r="AF46" i="18"/>
  <c r="AE36" i="15"/>
  <c r="AD36" i="15"/>
  <c r="AC36" i="15"/>
  <c r="AB36" i="15"/>
  <c r="AA36" i="15"/>
  <c r="Z36" i="15"/>
  <c r="Y36" i="15"/>
  <c r="AB35" i="15"/>
  <c r="AC35" i="15"/>
  <c r="AD35" i="15"/>
  <c r="AE35" i="15"/>
  <c r="AA35" i="15"/>
  <c r="Z35" i="15"/>
  <c r="Y35" i="15"/>
  <c r="AF39" i="15"/>
  <c r="AG39" i="15" s="1"/>
  <c r="F8" i="20" l="1"/>
  <c r="W62" i="20"/>
  <c r="W64" i="20" s="1"/>
  <c r="X8" i="20" s="1"/>
  <c r="F6" i="20"/>
  <c r="G2" i="20" s="1"/>
  <c r="U59" i="10"/>
  <c r="AB21" i="10"/>
  <c r="AA59" i="10"/>
  <c r="F4" i="18"/>
  <c r="F6" i="18" s="1"/>
  <c r="G2" i="18" s="1"/>
  <c r="F5" i="18"/>
  <c r="F8" i="18" s="1"/>
  <c r="X11" i="18" s="1"/>
  <c r="X62" i="18" s="1"/>
  <c r="U62" i="18"/>
  <c r="U64" i="18" s="1"/>
  <c r="V8" i="18" s="1"/>
  <c r="V64" i="18" s="1"/>
  <c r="W8" i="18" s="1"/>
  <c r="W34" i="18"/>
  <c r="AG69" i="15"/>
  <c r="AF59" i="15"/>
  <c r="AG59" i="15" s="1"/>
  <c r="AF58" i="15"/>
  <c r="AG58" i="15" s="1"/>
  <c r="AF57" i="15"/>
  <c r="AG57" i="15" s="1"/>
  <c r="AG56" i="15"/>
  <c r="T56" i="15" s="1"/>
  <c r="AG55" i="15"/>
  <c r="T55" i="15" s="1"/>
  <c r="AG54" i="15"/>
  <c r="T54" i="15" s="1"/>
  <c r="AG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AG51" i="15"/>
  <c r="T51" i="15" s="1"/>
  <c r="AE51" i="15"/>
  <c r="AD51" i="15"/>
  <c r="AC51" i="15"/>
  <c r="AB51" i="15"/>
  <c r="AA51" i="15"/>
  <c r="Z51" i="15"/>
  <c r="Y51" i="15"/>
  <c r="X51" i="15"/>
  <c r="W51" i="15"/>
  <c r="V51" i="15"/>
  <c r="U51" i="15"/>
  <c r="AG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AG49" i="15"/>
  <c r="T49" i="15" s="1"/>
  <c r="AE49" i="15"/>
  <c r="AD49" i="15"/>
  <c r="AC49" i="15"/>
  <c r="AB49" i="15"/>
  <c r="AA49" i="15"/>
  <c r="Z49" i="15"/>
  <c r="X49" i="15"/>
  <c r="W49" i="15"/>
  <c r="V49" i="15"/>
  <c r="U49" i="15"/>
  <c r="AG48" i="15"/>
  <c r="T48" i="15" s="1"/>
  <c r="AH46" i="15"/>
  <c r="AG46" i="15" s="1"/>
  <c r="AG45" i="15"/>
  <c r="AG44" i="15"/>
  <c r="T44" i="15" s="1"/>
  <c r="AE44" i="15"/>
  <c r="AD44" i="15"/>
  <c r="AC44" i="15"/>
  <c r="AB44" i="15"/>
  <c r="AA44" i="15"/>
  <c r="Z44" i="15"/>
  <c r="Y44" i="15"/>
  <c r="X44" i="15"/>
  <c r="W44" i="15"/>
  <c r="V44" i="15"/>
  <c r="U44" i="15"/>
  <c r="AH42" i="15"/>
  <c r="AG41" i="15"/>
  <c r="AF41" i="15" s="1"/>
  <c r="AG38" i="15"/>
  <c r="AF38" i="15" s="1"/>
  <c r="AG37" i="15"/>
  <c r="AG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AG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AG31" i="15"/>
  <c r="T31" i="15" s="1"/>
  <c r="AE31" i="15"/>
  <c r="AD31" i="15"/>
  <c r="AC31" i="15"/>
  <c r="AB31" i="15"/>
  <c r="AA31" i="15"/>
  <c r="Z31" i="15"/>
  <c r="Y31" i="15"/>
  <c r="X31" i="15"/>
  <c r="W31" i="15"/>
  <c r="V31" i="15"/>
  <c r="U31" i="15"/>
  <c r="AG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AG29" i="15"/>
  <c r="T29" i="15" s="1"/>
  <c r="AG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AG27" i="15"/>
  <c r="T27" i="15" s="1"/>
  <c r="AE27" i="15"/>
  <c r="AD27" i="15"/>
  <c r="AC27" i="15"/>
  <c r="AB27" i="15"/>
  <c r="AA27" i="15"/>
  <c r="Z27" i="15"/>
  <c r="Y27" i="15"/>
  <c r="X27" i="15"/>
  <c r="W27" i="15"/>
  <c r="V27" i="15"/>
  <c r="U27" i="15"/>
  <c r="AG26" i="15"/>
  <c r="AD26" i="15"/>
  <c r="AC26" i="15"/>
  <c r="AB26" i="15"/>
  <c r="AA26" i="15"/>
  <c r="Z26" i="15"/>
  <c r="Y26" i="15"/>
  <c r="X26" i="15"/>
  <c r="W26" i="15"/>
  <c r="V26" i="15"/>
  <c r="U26" i="15"/>
  <c r="T26" i="15"/>
  <c r="AG25" i="15"/>
  <c r="T25" i="15" s="1"/>
  <c r="AE25" i="15"/>
  <c r="AD25" i="15"/>
  <c r="AC25" i="15"/>
  <c r="AB25" i="15"/>
  <c r="AA25" i="15"/>
  <c r="Z25" i="15"/>
  <c r="Y25" i="15"/>
  <c r="X25" i="15"/>
  <c r="W25" i="15"/>
  <c r="V25" i="15"/>
  <c r="U25" i="15"/>
  <c r="AG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AG23" i="15"/>
  <c r="T23" i="15" s="1"/>
  <c r="AE23" i="15"/>
  <c r="AD23" i="15"/>
  <c r="AC23" i="15"/>
  <c r="AB23" i="15"/>
  <c r="AA23" i="15"/>
  <c r="Z23" i="15"/>
  <c r="Y23" i="15"/>
  <c r="X23" i="15"/>
  <c r="W23" i="15"/>
  <c r="V23" i="15"/>
  <c r="U23" i="15"/>
  <c r="AG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AG21" i="15"/>
  <c r="T21" i="15" s="1"/>
  <c r="U21" i="15" s="1"/>
  <c r="V21" i="15" s="1"/>
  <c r="W21" i="15" s="1"/>
  <c r="X21" i="15" s="1"/>
  <c r="Y21" i="15" s="1"/>
  <c r="Z21" i="15" s="1"/>
  <c r="AA21" i="15" s="1"/>
  <c r="AB21" i="15" s="1"/>
  <c r="AC21" i="15" s="1"/>
  <c r="AD21" i="15" s="1"/>
  <c r="AE21" i="15" s="1"/>
  <c r="AG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AG19" i="15"/>
  <c r="T19" i="15" s="1"/>
  <c r="AE19" i="15"/>
  <c r="AD19" i="15"/>
  <c r="AC19" i="15"/>
  <c r="AB19" i="15"/>
  <c r="AA19" i="15"/>
  <c r="Z19" i="15"/>
  <c r="Y19" i="15"/>
  <c r="X19" i="15"/>
  <c r="W19" i="15"/>
  <c r="V19" i="15"/>
  <c r="U19" i="15"/>
  <c r="AG18" i="15"/>
  <c r="T18" i="15" s="1"/>
  <c r="AD18" i="15"/>
  <c r="AC18" i="15"/>
  <c r="AB18" i="15"/>
  <c r="AA18" i="15"/>
  <c r="Z18" i="15"/>
  <c r="Y18" i="15"/>
  <c r="X18" i="15"/>
  <c r="W18" i="15"/>
  <c r="V18" i="15"/>
  <c r="U18" i="15"/>
  <c r="AG17" i="15"/>
  <c r="T17" i="15" s="1"/>
  <c r="AE17" i="15"/>
  <c r="AD17" i="15"/>
  <c r="AC17" i="15"/>
  <c r="AB17" i="15"/>
  <c r="AA17" i="15"/>
  <c r="Z17" i="15"/>
  <c r="Y17" i="15"/>
  <c r="X17" i="15"/>
  <c r="W17" i="15"/>
  <c r="V17" i="15"/>
  <c r="U17" i="15"/>
  <c r="AG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AG15" i="15"/>
  <c r="T15" i="15" s="1"/>
  <c r="AE15" i="15"/>
  <c r="AG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AG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T8" i="15"/>
  <c r="M3" i="15"/>
  <c r="L3" i="15"/>
  <c r="K3" i="15"/>
  <c r="J3" i="15"/>
  <c r="I3" i="15"/>
  <c r="H3" i="15"/>
  <c r="G3" i="15"/>
  <c r="F3" i="15"/>
  <c r="E3" i="15"/>
  <c r="D3" i="15"/>
  <c r="C3" i="15"/>
  <c r="B3" i="15"/>
  <c r="AG68" i="16"/>
  <c r="AF58" i="16"/>
  <c r="AG58" i="16" s="1"/>
  <c r="AF57" i="16"/>
  <c r="AG57" i="16" s="1"/>
  <c r="AF56" i="16"/>
  <c r="AG56" i="16" s="1"/>
  <c r="AG55" i="16"/>
  <c r="T55" i="16" s="1"/>
  <c r="U55" i="16" s="1"/>
  <c r="V55" i="16" s="1"/>
  <c r="W55" i="16" s="1"/>
  <c r="X55" i="16" s="1"/>
  <c r="Y55" i="16" s="1"/>
  <c r="Z55" i="16" s="1"/>
  <c r="AA55" i="16" s="1"/>
  <c r="AB55" i="16" s="1"/>
  <c r="AC55" i="16" s="1"/>
  <c r="AD55" i="16" s="1"/>
  <c r="AE55" i="16" s="1"/>
  <c r="AG54" i="16"/>
  <c r="T54" i="16" s="1"/>
  <c r="AG53" i="16"/>
  <c r="T53" i="16" s="1"/>
  <c r="U53" i="16" s="1"/>
  <c r="V53" i="16" s="1"/>
  <c r="W53" i="16" s="1"/>
  <c r="AG51" i="16"/>
  <c r="AE51" i="16"/>
  <c r="AD51" i="16"/>
  <c r="AC51" i="16"/>
  <c r="AB51" i="16"/>
  <c r="AA51" i="16"/>
  <c r="Z51" i="16"/>
  <c r="Y51" i="16"/>
  <c r="X51" i="16"/>
  <c r="W51" i="16"/>
  <c r="V51" i="16"/>
  <c r="U51" i="16"/>
  <c r="T51" i="16"/>
  <c r="AG50" i="16"/>
  <c r="T50" i="16" s="1"/>
  <c r="AE50" i="16"/>
  <c r="AD50" i="16"/>
  <c r="AC50" i="16"/>
  <c r="AB50" i="16"/>
  <c r="AA50" i="16"/>
  <c r="Z50" i="16"/>
  <c r="Y50" i="16"/>
  <c r="X50" i="16"/>
  <c r="W50" i="16"/>
  <c r="V50" i="16"/>
  <c r="U50" i="16"/>
  <c r="AG49" i="16"/>
  <c r="AE49" i="16"/>
  <c r="AD49" i="16"/>
  <c r="AC49" i="16"/>
  <c r="AB49" i="16"/>
  <c r="AA49" i="16"/>
  <c r="Z49" i="16"/>
  <c r="Y49" i="16"/>
  <c r="X49" i="16"/>
  <c r="W49" i="16"/>
  <c r="V49" i="16"/>
  <c r="U49" i="16"/>
  <c r="T49" i="16"/>
  <c r="AG48" i="16"/>
  <c r="T48" i="16" s="1"/>
  <c r="AE48" i="16"/>
  <c r="AD48" i="16"/>
  <c r="AC48" i="16"/>
  <c r="AB48" i="16"/>
  <c r="AA48" i="16"/>
  <c r="Z48" i="16"/>
  <c r="X48" i="16"/>
  <c r="W48" i="16"/>
  <c r="V48" i="16"/>
  <c r="U48" i="16"/>
  <c r="AG47" i="16"/>
  <c r="T47" i="16" s="1"/>
  <c r="U47" i="16" s="1"/>
  <c r="V47" i="16" s="1"/>
  <c r="W47" i="16" s="1"/>
  <c r="X47" i="16" s="1"/>
  <c r="Y47" i="16" s="1"/>
  <c r="Z47" i="16" s="1"/>
  <c r="AA47" i="16" s="1"/>
  <c r="AB47" i="16" s="1"/>
  <c r="AC47" i="16" s="1"/>
  <c r="AD47" i="16" s="1"/>
  <c r="AE47" i="16" s="1"/>
  <c r="AH45" i="16"/>
  <c r="AH46" i="16" s="1"/>
  <c r="AG44" i="16"/>
  <c r="AG43" i="16"/>
  <c r="T43" i="16" s="1"/>
  <c r="AE43" i="16"/>
  <c r="AD43" i="16"/>
  <c r="AC43" i="16"/>
  <c r="AB43" i="16"/>
  <c r="AA43" i="16"/>
  <c r="Z43" i="16"/>
  <c r="Y43" i="16"/>
  <c r="X43" i="16"/>
  <c r="W43" i="16"/>
  <c r="V43" i="16"/>
  <c r="U43" i="16"/>
  <c r="AH41" i="16"/>
  <c r="AH42" i="16" s="1"/>
  <c r="AF40" i="16"/>
  <c r="AG38" i="16"/>
  <c r="AF38" i="16"/>
  <c r="AG37" i="16"/>
  <c r="AF37" i="16"/>
  <c r="AG36" i="16"/>
  <c r="AF36" i="16"/>
  <c r="AG35" i="16"/>
  <c r="AG33" i="16"/>
  <c r="T33" i="16" s="1"/>
  <c r="AE33" i="16"/>
  <c r="AD33" i="16"/>
  <c r="AC33" i="16"/>
  <c r="AB33" i="16"/>
  <c r="AA33" i="16"/>
  <c r="Z33" i="16"/>
  <c r="Y33" i="16"/>
  <c r="X33" i="16"/>
  <c r="W33" i="16"/>
  <c r="V33" i="16"/>
  <c r="U33" i="16"/>
  <c r="AG32" i="16"/>
  <c r="AE32" i="16"/>
  <c r="AD32" i="16"/>
  <c r="AC32" i="16"/>
  <c r="AB32" i="16"/>
  <c r="AA32" i="16"/>
  <c r="Z32" i="16"/>
  <c r="Y32" i="16"/>
  <c r="X32" i="16"/>
  <c r="W32" i="16"/>
  <c r="V32" i="16"/>
  <c r="U32" i="16"/>
  <c r="T32" i="16"/>
  <c r="AG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AG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AG29" i="16"/>
  <c r="T29" i="16" s="1"/>
  <c r="U29" i="16" s="1"/>
  <c r="V29" i="16" s="1"/>
  <c r="W29" i="16" s="1"/>
  <c r="X29" i="16" s="1"/>
  <c r="Y29" i="16" s="1"/>
  <c r="Z29" i="16" s="1"/>
  <c r="AA29" i="16" s="1"/>
  <c r="AB29" i="16" s="1"/>
  <c r="AC29" i="16" s="1"/>
  <c r="AD29" i="16" s="1"/>
  <c r="AE29" i="16" s="1"/>
  <c r="AG28" i="16"/>
  <c r="T28" i="16" s="1"/>
  <c r="AE28" i="16"/>
  <c r="AD28" i="16"/>
  <c r="AC28" i="16"/>
  <c r="AB28" i="16"/>
  <c r="AA28" i="16"/>
  <c r="Z28" i="16"/>
  <c r="Y28" i="16"/>
  <c r="X28" i="16"/>
  <c r="W28" i="16"/>
  <c r="V28" i="16"/>
  <c r="U28" i="16"/>
  <c r="AG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AG26" i="16"/>
  <c r="AD26" i="16"/>
  <c r="AC26" i="16"/>
  <c r="AB26" i="16"/>
  <c r="AA26" i="16"/>
  <c r="Z26" i="16"/>
  <c r="Y26" i="16"/>
  <c r="X26" i="16"/>
  <c r="W26" i="16"/>
  <c r="V26" i="16"/>
  <c r="U26" i="16"/>
  <c r="T26" i="16"/>
  <c r="AG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AG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AG23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AG22" i="16"/>
  <c r="T22" i="16" s="1"/>
  <c r="AE22" i="16"/>
  <c r="AD22" i="16"/>
  <c r="AC22" i="16"/>
  <c r="AB22" i="16"/>
  <c r="AA22" i="16"/>
  <c r="Z22" i="16"/>
  <c r="Y22" i="16"/>
  <c r="X22" i="16"/>
  <c r="W22" i="16"/>
  <c r="V22" i="16"/>
  <c r="U22" i="16"/>
  <c r="AG21" i="16"/>
  <c r="T21" i="16" s="1"/>
  <c r="U21" i="16" s="1"/>
  <c r="V21" i="16" s="1"/>
  <c r="W21" i="16" s="1"/>
  <c r="X21" i="16" s="1"/>
  <c r="Y21" i="16" s="1"/>
  <c r="Z21" i="16" s="1"/>
  <c r="AA21" i="16" s="1"/>
  <c r="AB21" i="16" s="1"/>
  <c r="AC21" i="16" s="1"/>
  <c r="AD21" i="16" s="1"/>
  <c r="AE21" i="16" s="1"/>
  <c r="AG20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AG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AG18" i="16"/>
  <c r="T18" i="16" s="1"/>
  <c r="AD18" i="16"/>
  <c r="AC18" i="16"/>
  <c r="AB18" i="16"/>
  <c r="AA18" i="16"/>
  <c r="Z18" i="16"/>
  <c r="Y18" i="16"/>
  <c r="X18" i="16"/>
  <c r="W18" i="16"/>
  <c r="V18" i="16"/>
  <c r="U18" i="16"/>
  <c r="AG17" i="16"/>
  <c r="T17" i="16" s="1"/>
  <c r="AE17" i="16"/>
  <c r="AD17" i="16"/>
  <c r="AC17" i="16"/>
  <c r="AB17" i="16"/>
  <c r="AA17" i="16"/>
  <c r="Z17" i="16"/>
  <c r="Y17" i="16"/>
  <c r="X17" i="16"/>
  <c r="W17" i="16"/>
  <c r="V17" i="16"/>
  <c r="U17" i="16"/>
  <c r="AG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AG15" i="16"/>
  <c r="T15" i="16" s="1"/>
  <c r="AE15" i="16"/>
  <c r="AG14" i="16"/>
  <c r="T14" i="16" s="1"/>
  <c r="AE14" i="16"/>
  <c r="AD14" i="16"/>
  <c r="AC14" i="16"/>
  <c r="AB14" i="16"/>
  <c r="AA14" i="16"/>
  <c r="Z14" i="16"/>
  <c r="Y14" i="16"/>
  <c r="X14" i="16"/>
  <c r="W14" i="16"/>
  <c r="V14" i="16"/>
  <c r="U14" i="16"/>
  <c r="AG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T8" i="16"/>
  <c r="M3" i="16"/>
  <c r="L3" i="16"/>
  <c r="K3" i="16"/>
  <c r="J3" i="16"/>
  <c r="I3" i="16"/>
  <c r="H3" i="16"/>
  <c r="G3" i="16"/>
  <c r="F3" i="16"/>
  <c r="E3" i="16"/>
  <c r="D3" i="16"/>
  <c r="C3" i="16"/>
  <c r="B3" i="16"/>
  <c r="B5" i="16" s="1"/>
  <c r="B8" i="14"/>
  <c r="C8" i="14" s="1"/>
  <c r="C6" i="14"/>
  <c r="C4" i="14"/>
  <c r="G4" i="20" l="1"/>
  <c r="G6" i="20" s="1"/>
  <c r="H2" i="20" s="1"/>
  <c r="G5" i="20"/>
  <c r="X11" i="20"/>
  <c r="AC21" i="10"/>
  <c r="AB59" i="10"/>
  <c r="W59" i="18"/>
  <c r="G4" i="18"/>
  <c r="G5" i="18"/>
  <c r="AF15" i="16"/>
  <c r="AG45" i="16"/>
  <c r="AF20" i="16"/>
  <c r="AF30" i="16"/>
  <c r="B4" i="16"/>
  <c r="B6" i="16" s="1"/>
  <c r="C2" i="16" s="1"/>
  <c r="C4" i="16" s="1"/>
  <c r="AF22" i="16"/>
  <c r="AF26" i="16"/>
  <c r="AF14" i="16"/>
  <c r="AF16" i="16"/>
  <c r="AF17" i="16"/>
  <c r="AF23" i="16"/>
  <c r="AF28" i="16"/>
  <c r="AF32" i="16"/>
  <c r="AF49" i="16"/>
  <c r="AF50" i="16"/>
  <c r="AF24" i="16"/>
  <c r="AF33" i="16"/>
  <c r="AF51" i="16"/>
  <c r="AF18" i="16"/>
  <c r="AF15" i="15"/>
  <c r="AH43" i="15"/>
  <c r="AH47" i="15"/>
  <c r="AF28" i="15"/>
  <c r="AF49" i="15"/>
  <c r="AF51" i="15"/>
  <c r="AF14" i="15"/>
  <c r="AF17" i="15"/>
  <c r="AF18" i="15"/>
  <c r="AF19" i="15"/>
  <c r="AF22" i="15"/>
  <c r="AF23" i="15"/>
  <c r="AF33" i="15"/>
  <c r="AF44" i="15"/>
  <c r="AF20" i="15"/>
  <c r="AF24" i="15"/>
  <c r="AF30" i="15"/>
  <c r="AF53" i="15"/>
  <c r="N3" i="15"/>
  <c r="AF26" i="15"/>
  <c r="AF27" i="15"/>
  <c r="AF32" i="15"/>
  <c r="AB46" i="15"/>
  <c r="AC46" i="15" s="1"/>
  <c r="AD46" i="15" s="1"/>
  <c r="AE46" i="15" s="1"/>
  <c r="AF52" i="15"/>
  <c r="U55" i="15"/>
  <c r="V55" i="15" s="1"/>
  <c r="W55" i="15" s="1"/>
  <c r="X55" i="15" s="1"/>
  <c r="Y55" i="15" s="1"/>
  <c r="Z55" i="15" s="1"/>
  <c r="AA55" i="15" s="1"/>
  <c r="AB55" i="15" s="1"/>
  <c r="AC55" i="15" s="1"/>
  <c r="AD55" i="15" s="1"/>
  <c r="AE55" i="15" s="1"/>
  <c r="U29" i="15"/>
  <c r="V29" i="15" s="1"/>
  <c r="W29" i="15" s="1"/>
  <c r="X29" i="15" s="1"/>
  <c r="Y29" i="15" s="1"/>
  <c r="Z29" i="15" s="1"/>
  <c r="AA29" i="15" s="1"/>
  <c r="AB29" i="15" s="1"/>
  <c r="AC29" i="15" s="1"/>
  <c r="AD29" i="15" s="1"/>
  <c r="AE29" i="15" s="1"/>
  <c r="AF31" i="15"/>
  <c r="B4" i="15"/>
  <c r="AF36" i="15"/>
  <c r="AG36" i="15" s="1"/>
  <c r="AF16" i="15"/>
  <c r="AF21" i="15"/>
  <c r="AF25" i="15"/>
  <c r="U48" i="15"/>
  <c r="V48" i="15" s="1"/>
  <c r="W48" i="15" s="1"/>
  <c r="X48" i="15" s="1"/>
  <c r="Y48" i="15" s="1"/>
  <c r="Z48" i="15" s="1"/>
  <c r="AA48" i="15" s="1"/>
  <c r="AB48" i="15" s="1"/>
  <c r="AC48" i="15" s="1"/>
  <c r="AD48" i="15" s="1"/>
  <c r="AE48" i="15" s="1"/>
  <c r="AF50" i="15"/>
  <c r="V45" i="15"/>
  <c r="W45" i="15" s="1"/>
  <c r="X45" i="15" s="1"/>
  <c r="Y45" i="15" s="1"/>
  <c r="AB45" i="15" s="1"/>
  <c r="AC45" i="15" s="1"/>
  <c r="AD45" i="15" s="1"/>
  <c r="AE45" i="15" s="1"/>
  <c r="U54" i="15"/>
  <c r="V54" i="15" s="1"/>
  <c r="W54" i="15" s="1"/>
  <c r="X54" i="15" s="1"/>
  <c r="Y54" i="15" s="1"/>
  <c r="Z54" i="15" s="1"/>
  <c r="AA54" i="15" s="1"/>
  <c r="AB54" i="15" s="1"/>
  <c r="AC54" i="15" s="1"/>
  <c r="AD54" i="15" s="1"/>
  <c r="AE54" i="15" s="1"/>
  <c r="U56" i="15"/>
  <c r="V56" i="15" s="1"/>
  <c r="W56" i="15" s="1"/>
  <c r="X56" i="15" s="1"/>
  <c r="Y56" i="15" s="1"/>
  <c r="Z56" i="15" s="1"/>
  <c r="AA56" i="15" s="1"/>
  <c r="AB56" i="15" s="1"/>
  <c r="AC56" i="15" s="1"/>
  <c r="AD56" i="15" s="1"/>
  <c r="AE56" i="15" s="1"/>
  <c r="AF13" i="15"/>
  <c r="B8" i="16"/>
  <c r="AF44" i="16"/>
  <c r="N3" i="16"/>
  <c r="T59" i="16"/>
  <c r="AF13" i="16"/>
  <c r="AF19" i="16"/>
  <c r="AF25" i="16"/>
  <c r="AF31" i="16"/>
  <c r="AF48" i="16"/>
  <c r="U54" i="16"/>
  <c r="V54" i="16" s="1"/>
  <c r="W54" i="16" s="1"/>
  <c r="X54" i="16" s="1"/>
  <c r="Y54" i="16" s="1"/>
  <c r="Z54" i="16" s="1"/>
  <c r="AA54" i="16" s="1"/>
  <c r="AB54" i="16" s="1"/>
  <c r="AC54" i="16" s="1"/>
  <c r="AD54" i="16" s="1"/>
  <c r="AE54" i="16" s="1"/>
  <c r="X53" i="16"/>
  <c r="Y53" i="16" s="1"/>
  <c r="Z53" i="16" s="1"/>
  <c r="AA53" i="16" s="1"/>
  <c r="AB53" i="16" s="1"/>
  <c r="AC53" i="16" s="1"/>
  <c r="AD53" i="16" s="1"/>
  <c r="AE53" i="16" s="1"/>
  <c r="AF27" i="16"/>
  <c r="AF35" i="16"/>
  <c r="AF43" i="16"/>
  <c r="AF52" i="16"/>
  <c r="AF55" i="16"/>
  <c r="AF21" i="16"/>
  <c r="AF29" i="16"/>
  <c r="AF47" i="16"/>
  <c r="D8" i="14"/>
  <c r="H4" i="20" l="1"/>
  <c r="H5" i="20"/>
  <c r="H8" i="20" s="1"/>
  <c r="Z11" i="20" s="1"/>
  <c r="X62" i="20"/>
  <c r="X64" i="20" s="1"/>
  <c r="Y8" i="20" s="1"/>
  <c r="G8" i="20"/>
  <c r="AD21" i="10"/>
  <c r="G8" i="18"/>
  <c r="G6" i="18"/>
  <c r="H2" i="18" s="1"/>
  <c r="W62" i="18"/>
  <c r="W64" i="18" s="1"/>
  <c r="X8" i="18" s="1"/>
  <c r="X64" i="18" s="1"/>
  <c r="Y8" i="18" s="1"/>
  <c r="AF45" i="16"/>
  <c r="U59" i="16"/>
  <c r="AF54" i="16"/>
  <c r="AE59" i="16"/>
  <c r="Y59" i="16"/>
  <c r="AD59" i="16"/>
  <c r="AA59" i="16"/>
  <c r="V59" i="16"/>
  <c r="X59" i="16"/>
  <c r="AF41" i="16"/>
  <c r="AF42" i="15"/>
  <c r="AF48" i="15"/>
  <c r="AE60" i="15"/>
  <c r="B6" i="15"/>
  <c r="C2" i="15" s="1"/>
  <c r="C4" i="15" s="1"/>
  <c r="AF29" i="15"/>
  <c r="AB60" i="15"/>
  <c r="AD60" i="15"/>
  <c r="AF46" i="15"/>
  <c r="Y60" i="15"/>
  <c r="B8" i="15"/>
  <c r="X60" i="15"/>
  <c r="AA60" i="15"/>
  <c r="AF45" i="15"/>
  <c r="AF56" i="15"/>
  <c r="AF54" i="15"/>
  <c r="V60" i="15"/>
  <c r="AF55" i="15"/>
  <c r="C5" i="16"/>
  <c r="C6" i="16" s="1"/>
  <c r="D2" i="16" s="1"/>
  <c r="AB59" i="16"/>
  <c r="AF53" i="16"/>
  <c r="T11" i="16"/>
  <c r="E8" i="14"/>
  <c r="B9" i="14" s="1"/>
  <c r="Y11" i="20" l="1"/>
  <c r="H6" i="20"/>
  <c r="I2" i="20" s="1"/>
  <c r="AE21" i="10"/>
  <c r="AD59" i="10"/>
  <c r="H4" i="18"/>
  <c r="H5" i="18"/>
  <c r="Y11" i="18"/>
  <c r="C5" i="15"/>
  <c r="C8" i="15" s="1"/>
  <c r="U11" i="15" s="1"/>
  <c r="T11" i="15"/>
  <c r="T62" i="16"/>
  <c r="T64" i="16" s="1"/>
  <c r="U8" i="16" s="1"/>
  <c r="D5" i="16"/>
  <c r="D8" i="16" s="1"/>
  <c r="V11" i="16" s="1"/>
  <c r="V62" i="16" s="1"/>
  <c r="D4" i="16"/>
  <c r="C8" i="16"/>
  <c r="C9" i="14"/>
  <c r="I5" i="20" l="1"/>
  <c r="I8" i="20" s="1"/>
  <c r="AA11" i="20" s="1"/>
  <c r="I4" i="20"/>
  <c r="I6" i="20" s="1"/>
  <c r="J2" i="20" s="1"/>
  <c r="Y62" i="20"/>
  <c r="Y64" i="20" s="1"/>
  <c r="Z8" i="20" s="1"/>
  <c r="Z34" i="20"/>
  <c r="AE59" i="10"/>
  <c r="AF21" i="10"/>
  <c r="Y62" i="18"/>
  <c r="Y64" i="18" s="1"/>
  <c r="Z8" i="18" s="1"/>
  <c r="Z34" i="18"/>
  <c r="H8" i="18"/>
  <c r="H6" i="18"/>
  <c r="I2" i="18" s="1"/>
  <c r="C6" i="15"/>
  <c r="D2" i="15" s="1"/>
  <c r="U11" i="16"/>
  <c r="D6" i="16"/>
  <c r="E2" i="16" s="1"/>
  <c r="D9" i="14"/>
  <c r="J4" i="20" l="1"/>
  <c r="J5" i="20"/>
  <c r="J8" i="20" s="1"/>
  <c r="AB11" i="20" s="1"/>
  <c r="AB62" i="20" s="1"/>
  <c r="AA62" i="20"/>
  <c r="Z59" i="20"/>
  <c r="Z11" i="18"/>
  <c r="Z59" i="18"/>
  <c r="I4" i="18"/>
  <c r="I5" i="18"/>
  <c r="I8" i="18" s="1"/>
  <c r="AA11" i="18" s="1"/>
  <c r="AA62" i="18" s="1"/>
  <c r="D5" i="15"/>
  <c r="D8" i="15" s="1"/>
  <c r="V11" i="15" s="1"/>
  <c r="D4" i="15"/>
  <c r="E4" i="16"/>
  <c r="E6" i="16" s="1"/>
  <c r="F2" i="16" s="1"/>
  <c r="E5" i="16"/>
  <c r="U62" i="16"/>
  <c r="U64" i="16" s="1"/>
  <c r="V8" i="16" s="1"/>
  <c r="V64" i="16" s="1"/>
  <c r="W8" i="16" s="1"/>
  <c r="W34" i="16"/>
  <c r="E9" i="14"/>
  <c r="B10" i="14" s="1"/>
  <c r="AC34" i="20" l="1"/>
  <c r="Z62" i="20"/>
  <c r="Z64" i="20" s="1"/>
  <c r="AA8" i="20" s="1"/>
  <c r="AA64" i="20" s="1"/>
  <c r="AB8" i="20" s="1"/>
  <c r="AB64" i="20" s="1"/>
  <c r="AC8" i="20" s="1"/>
  <c r="J6" i="20"/>
  <c r="K2" i="20" s="1"/>
  <c r="I6" i="18"/>
  <c r="J2" i="18" s="1"/>
  <c r="Z62" i="18"/>
  <c r="Z64" i="18" s="1"/>
  <c r="AA8" i="18" s="1"/>
  <c r="AA64" i="18" s="1"/>
  <c r="AB8" i="18" s="1"/>
  <c r="D6" i="15"/>
  <c r="E2" i="15" s="1"/>
  <c r="E5" i="15" s="1"/>
  <c r="E8" i="15" s="1"/>
  <c r="V63" i="15"/>
  <c r="W34" i="15"/>
  <c r="W59" i="16"/>
  <c r="E8" i="16"/>
  <c r="F4" i="16"/>
  <c r="F5" i="16"/>
  <c r="F8" i="16" s="1"/>
  <c r="X11" i="16" s="1"/>
  <c r="X62" i="16" s="1"/>
  <c r="C10" i="14"/>
  <c r="B8" i="13"/>
  <c r="C4" i="13"/>
  <c r="C6" i="13" s="1"/>
  <c r="B8" i="12"/>
  <c r="C8" i="12" s="1"/>
  <c r="C4" i="12"/>
  <c r="C6" i="12" s="1"/>
  <c r="AC59" i="20" l="1"/>
  <c r="AF60" i="20" s="1"/>
  <c r="AF34" i="20"/>
  <c r="AF61" i="20"/>
  <c r="K4" i="20"/>
  <c r="K6" i="20" s="1"/>
  <c r="L2" i="20" s="1"/>
  <c r="K5" i="20"/>
  <c r="K8" i="20" s="1"/>
  <c r="AC11" i="20" s="1"/>
  <c r="J5" i="18"/>
  <c r="J8" i="18" s="1"/>
  <c r="AB11" i="18" s="1"/>
  <c r="J4" i="18"/>
  <c r="J6" i="18" s="1"/>
  <c r="K2" i="18" s="1"/>
  <c r="F6" i="16"/>
  <c r="G2" i="16" s="1"/>
  <c r="G5" i="16" s="1"/>
  <c r="E4" i="15"/>
  <c r="E6" i="15" s="1"/>
  <c r="F2" i="15" s="1"/>
  <c r="F4" i="15" s="1"/>
  <c r="W60" i="15"/>
  <c r="W11" i="15"/>
  <c r="W11" i="16"/>
  <c r="D10" i="14"/>
  <c r="C8" i="13"/>
  <c r="D8" i="13"/>
  <c r="E8" i="13" s="1"/>
  <c r="B9" i="13" s="1"/>
  <c r="D8" i="12"/>
  <c r="AC62" i="20" l="1"/>
  <c r="AC64" i="20" s="1"/>
  <c r="AD8" i="20" s="1"/>
  <c r="L4" i="20"/>
  <c r="L5" i="20"/>
  <c r="L8" i="20" s="1"/>
  <c r="AD11" i="20" s="1"/>
  <c r="AD62" i="20" s="1"/>
  <c r="AG59" i="20"/>
  <c r="AF59" i="20"/>
  <c r="K4" i="18"/>
  <c r="K6" i="18" s="1"/>
  <c r="L2" i="18" s="1"/>
  <c r="K5" i="18"/>
  <c r="K8" i="18" s="1"/>
  <c r="AC11" i="18" s="1"/>
  <c r="AB62" i="18"/>
  <c r="AB64" i="18" s="1"/>
  <c r="AC8" i="18" s="1"/>
  <c r="AC34" i="18"/>
  <c r="G4" i="16"/>
  <c r="G6" i="16" s="1"/>
  <c r="H2" i="16" s="1"/>
  <c r="F5" i="15"/>
  <c r="F6" i="15" s="1"/>
  <c r="G2" i="15" s="1"/>
  <c r="W63" i="15"/>
  <c r="G8" i="16"/>
  <c r="W62" i="16"/>
  <c r="W64" i="16" s="1"/>
  <c r="X8" i="16" s="1"/>
  <c r="X64" i="16" s="1"/>
  <c r="Y8" i="16" s="1"/>
  <c r="E10" i="14"/>
  <c r="B11" i="14" s="1"/>
  <c r="C9" i="13"/>
  <c r="D9" i="13" s="1"/>
  <c r="E9" i="13" s="1"/>
  <c r="B10" i="13" s="1"/>
  <c r="E8" i="12"/>
  <c r="B9" i="12" s="1"/>
  <c r="AD64" i="20" l="1"/>
  <c r="AE8" i="20" s="1"/>
  <c r="L6" i="20"/>
  <c r="M2" i="20" s="1"/>
  <c r="AC59" i="18"/>
  <c r="AF60" i="18" s="1"/>
  <c r="AF61" i="18"/>
  <c r="AF34" i="18"/>
  <c r="L4" i="18"/>
  <c r="L5" i="18"/>
  <c r="L8" i="18" s="1"/>
  <c r="AD11" i="18" s="1"/>
  <c r="AD62" i="18" s="1"/>
  <c r="F8" i="15"/>
  <c r="X11" i="15" s="1"/>
  <c r="G4" i="15"/>
  <c r="G5" i="15"/>
  <c r="H5" i="16"/>
  <c r="H8" i="16" s="1"/>
  <c r="Z11" i="16" s="1"/>
  <c r="H4" i="16"/>
  <c r="Y11" i="16"/>
  <c r="C11" i="14"/>
  <c r="C10" i="13"/>
  <c r="D10" i="13" s="1"/>
  <c r="E10" i="13" s="1"/>
  <c r="B11" i="13" s="1"/>
  <c r="C9" i="12"/>
  <c r="M4" i="20" l="1"/>
  <c r="M5" i="20"/>
  <c r="AG34" i="18"/>
  <c r="AG59" i="18" s="1"/>
  <c r="AF59" i="18"/>
  <c r="L6" i="18"/>
  <c r="M2" i="18" s="1"/>
  <c r="AC62" i="18"/>
  <c r="AC64" i="18" s="1"/>
  <c r="AD8" i="18" s="1"/>
  <c r="AD64" i="18" s="1"/>
  <c r="AE8" i="18" s="1"/>
  <c r="H6" i="16"/>
  <c r="I2" i="16" s="1"/>
  <c r="I5" i="16" s="1"/>
  <c r="I8" i="16" s="1"/>
  <c r="AA11" i="16" s="1"/>
  <c r="AA62" i="16" s="1"/>
  <c r="X63" i="15"/>
  <c r="G6" i="15"/>
  <c r="H2" i="15" s="1"/>
  <c r="G8" i="15"/>
  <c r="I4" i="16"/>
  <c r="Y62" i="16"/>
  <c r="Y64" i="16" s="1"/>
  <c r="Z8" i="16" s="1"/>
  <c r="Z34" i="16"/>
  <c r="D11" i="14"/>
  <c r="C11" i="13"/>
  <c r="D9" i="12"/>
  <c r="M8" i="20" l="1"/>
  <c r="N5" i="20"/>
  <c r="AG11" i="20" s="1"/>
  <c r="M6" i="20"/>
  <c r="M4" i="18"/>
  <c r="M5" i="18"/>
  <c r="Y11" i="15"/>
  <c r="H5" i="15"/>
  <c r="H8" i="15" s="1"/>
  <c r="Z11" i="15" s="1"/>
  <c r="H4" i="15"/>
  <c r="Z59" i="16"/>
  <c r="I6" i="16"/>
  <c r="J2" i="16" s="1"/>
  <c r="E11" i="14"/>
  <c r="B12" i="14" s="1"/>
  <c r="D11" i="13"/>
  <c r="E9" i="12"/>
  <c r="B10" i="12" s="1"/>
  <c r="AE11" i="20" l="1"/>
  <c r="AE62" i="20" s="1"/>
  <c r="AE64" i="20" s="1"/>
  <c r="N8" i="20"/>
  <c r="AF11" i="20" s="1"/>
  <c r="M8" i="18"/>
  <c r="N5" i="18"/>
  <c r="AG11" i="18" s="1"/>
  <c r="M6" i="18"/>
  <c r="H6" i="15"/>
  <c r="I2" i="15" s="1"/>
  <c r="Y63" i="15"/>
  <c r="Z34" i="15"/>
  <c r="J4" i="16"/>
  <c r="J5" i="16"/>
  <c r="J8" i="16" s="1"/>
  <c r="AB11" i="16" s="1"/>
  <c r="Z62" i="16"/>
  <c r="Z64" i="16" s="1"/>
  <c r="AA8" i="16" s="1"/>
  <c r="AA64" i="16" s="1"/>
  <c r="AB8" i="16" s="1"/>
  <c r="C12" i="14"/>
  <c r="D12" i="14" s="1"/>
  <c r="E12" i="14" s="1"/>
  <c r="B13" i="14" s="1"/>
  <c r="E11" i="13"/>
  <c r="B12" i="13" s="1"/>
  <c r="C10" i="12"/>
  <c r="AE11" i="18" l="1"/>
  <c r="AE62" i="18" s="1"/>
  <c r="AE64" i="18" s="1"/>
  <c r="N8" i="18"/>
  <c r="AF11" i="18" s="1"/>
  <c r="J6" i="16"/>
  <c r="K2" i="16" s="1"/>
  <c r="K5" i="16" s="1"/>
  <c r="K8" i="16" s="1"/>
  <c r="AC11" i="16" s="1"/>
  <c r="Z60" i="15"/>
  <c r="I4" i="15"/>
  <c r="I5" i="15"/>
  <c r="I8" i="15" s="1"/>
  <c r="AA11" i="15" s="1"/>
  <c r="AB62" i="16"/>
  <c r="AB64" i="16" s="1"/>
  <c r="AC8" i="16" s="1"/>
  <c r="AC34" i="16"/>
  <c r="C13" i="14"/>
  <c r="D13" i="14" s="1"/>
  <c r="E13" i="14"/>
  <c r="B14" i="14" s="1"/>
  <c r="C12" i="13"/>
  <c r="D10" i="12"/>
  <c r="K4" i="16" l="1"/>
  <c r="K6" i="16" s="1"/>
  <c r="L2" i="16" s="1"/>
  <c r="AA63" i="15"/>
  <c r="Z63" i="15"/>
  <c r="I6" i="15"/>
  <c r="J2" i="15" s="1"/>
  <c r="AC59" i="16"/>
  <c r="AF60" i="16" s="1"/>
  <c r="AF61" i="16"/>
  <c r="AF34" i="16"/>
  <c r="C14" i="14"/>
  <c r="D14" i="14" s="1"/>
  <c r="E14" i="14" s="1"/>
  <c r="B15" i="14" s="1"/>
  <c r="D12" i="13"/>
  <c r="E10" i="12"/>
  <c r="B11" i="12" s="1"/>
  <c r="J4" i="15" l="1"/>
  <c r="J5" i="15"/>
  <c r="J8" i="15" s="1"/>
  <c r="AB11" i="15" s="1"/>
  <c r="AC62" i="16"/>
  <c r="AC64" i="16" s="1"/>
  <c r="AD8" i="16" s="1"/>
  <c r="L5" i="16"/>
  <c r="L8" i="16" s="1"/>
  <c r="AD11" i="16" s="1"/>
  <c r="AD62" i="16" s="1"/>
  <c r="L4" i="16"/>
  <c r="AG34" i="16"/>
  <c r="AG59" i="16" s="1"/>
  <c r="AF59" i="16"/>
  <c r="C15" i="14"/>
  <c r="D15" i="14" s="1"/>
  <c r="E15" i="14" s="1"/>
  <c r="B16" i="14" s="1"/>
  <c r="E12" i="13"/>
  <c r="B13" i="13" s="1"/>
  <c r="C11" i="12"/>
  <c r="L6" i="16" l="1"/>
  <c r="M2" i="16" s="1"/>
  <c r="M5" i="16" s="1"/>
  <c r="J6" i="15"/>
  <c r="K2" i="15" s="1"/>
  <c r="AB63" i="15"/>
  <c r="AC34" i="15"/>
  <c r="M4" i="16"/>
  <c r="AD64" i="16"/>
  <c r="AE8" i="16" s="1"/>
  <c r="C16" i="14"/>
  <c r="D16" i="14" s="1"/>
  <c r="E16" i="14" s="1"/>
  <c r="B17" i="14" s="1"/>
  <c r="C13" i="13"/>
  <c r="D13" i="13" s="1"/>
  <c r="E13" i="13" s="1"/>
  <c r="B14" i="13" s="1"/>
  <c r="D11" i="12"/>
  <c r="AC60" i="15" l="1"/>
  <c r="AF34" i="15"/>
  <c r="K4" i="15"/>
  <c r="K5" i="15"/>
  <c r="K8" i="15" s="1"/>
  <c r="AC11" i="15" s="1"/>
  <c r="M8" i="16"/>
  <c r="N5" i="16"/>
  <c r="AG11" i="16" s="1"/>
  <c r="M6" i="16"/>
  <c r="C17" i="14"/>
  <c r="D17" i="14" s="1"/>
  <c r="E17" i="14" s="1"/>
  <c r="B18" i="14" s="1"/>
  <c r="C14" i="13"/>
  <c r="D14" i="13" s="1"/>
  <c r="E14" i="13" s="1"/>
  <c r="B15" i="13" s="1"/>
  <c r="E11" i="12"/>
  <c r="B12" i="12" s="1"/>
  <c r="AC63" i="15" l="1"/>
  <c r="AG34" i="15"/>
  <c r="K6" i="15"/>
  <c r="L2" i="15" s="1"/>
  <c r="AE11" i="16"/>
  <c r="AE62" i="16" s="1"/>
  <c r="AE64" i="16" s="1"/>
  <c r="N8" i="16"/>
  <c r="AF11" i="16" s="1"/>
  <c r="C18" i="14"/>
  <c r="D18" i="14" s="1"/>
  <c r="E18" i="14" s="1"/>
  <c r="B19" i="14" s="1"/>
  <c r="C15" i="13"/>
  <c r="D15" i="13" s="1"/>
  <c r="E15" i="13" s="1"/>
  <c r="B16" i="13" s="1"/>
  <c r="C12" i="12"/>
  <c r="D12" i="12" s="1"/>
  <c r="E12" i="12" s="1"/>
  <c r="B13" i="12" s="1"/>
  <c r="L4" i="15" l="1"/>
  <c r="L5" i="15"/>
  <c r="L8" i="15" s="1"/>
  <c r="AD11" i="15" s="1"/>
  <c r="AD63" i="15" s="1"/>
  <c r="C19" i="14"/>
  <c r="D19" i="14" s="1"/>
  <c r="E19" i="14" s="1"/>
  <c r="B20" i="14" s="1"/>
  <c r="C16" i="13"/>
  <c r="D16" i="13" s="1"/>
  <c r="E16" i="13" s="1"/>
  <c r="B17" i="13" s="1"/>
  <c r="C13" i="12"/>
  <c r="D13" i="12" s="1"/>
  <c r="E13" i="12" s="1"/>
  <c r="B14" i="12" s="1"/>
  <c r="L6" i="15" l="1"/>
  <c r="M2" i="15" s="1"/>
  <c r="C20" i="14"/>
  <c r="D20" i="14" s="1"/>
  <c r="E20" i="14" s="1"/>
  <c r="B21" i="14" s="1"/>
  <c r="C17" i="13"/>
  <c r="D17" i="13" s="1"/>
  <c r="E17" i="13" s="1"/>
  <c r="B18" i="13" s="1"/>
  <c r="C14" i="12"/>
  <c r="D14" i="12" s="1"/>
  <c r="E14" i="12" s="1"/>
  <c r="B15" i="12" s="1"/>
  <c r="M4" i="15" l="1"/>
  <c r="M5" i="15"/>
  <c r="C21" i="14"/>
  <c r="D21" i="14" s="1"/>
  <c r="E21" i="14" s="1"/>
  <c r="B22" i="14" s="1"/>
  <c r="C18" i="13"/>
  <c r="D18" i="13" s="1"/>
  <c r="E18" i="13" s="1"/>
  <c r="B19" i="13" s="1"/>
  <c r="C15" i="12"/>
  <c r="D15" i="12" s="1"/>
  <c r="E15" i="12" s="1"/>
  <c r="B16" i="12" s="1"/>
  <c r="M8" i="15" l="1"/>
  <c r="N5" i="15"/>
  <c r="AG11" i="15" s="1"/>
  <c r="M6" i="15"/>
  <c r="C22" i="14"/>
  <c r="D22" i="14" s="1"/>
  <c r="E22" i="14" s="1"/>
  <c r="B23" i="14" s="1"/>
  <c r="C19" i="13"/>
  <c r="D19" i="13" s="1"/>
  <c r="E19" i="13" s="1"/>
  <c r="B20" i="13" s="1"/>
  <c r="C16" i="12"/>
  <c r="D16" i="12" s="1"/>
  <c r="E16" i="12" s="1"/>
  <c r="B17" i="12" s="1"/>
  <c r="AE11" i="15" l="1"/>
  <c r="AE63" i="15" s="1"/>
  <c r="N8" i="15"/>
  <c r="AF11" i="15" s="1"/>
  <c r="C23" i="14"/>
  <c r="D23" i="14" s="1"/>
  <c r="E23" i="14" s="1"/>
  <c r="B24" i="14" s="1"/>
  <c r="C20" i="13"/>
  <c r="D20" i="13" s="1"/>
  <c r="E20" i="13" s="1"/>
  <c r="B21" i="13" s="1"/>
  <c r="C17" i="12"/>
  <c r="D17" i="12" s="1"/>
  <c r="E17" i="12" s="1"/>
  <c r="B18" i="12" s="1"/>
  <c r="C24" i="14" l="1"/>
  <c r="D24" i="14" s="1"/>
  <c r="E24" i="14" s="1"/>
  <c r="B25" i="14" s="1"/>
  <c r="C21" i="13"/>
  <c r="D21" i="13" s="1"/>
  <c r="E21" i="13" s="1"/>
  <c r="B22" i="13" s="1"/>
  <c r="C18" i="12"/>
  <c r="D18" i="12" s="1"/>
  <c r="E18" i="12" s="1"/>
  <c r="B19" i="12" s="1"/>
  <c r="C25" i="14" l="1"/>
  <c r="D25" i="14" s="1"/>
  <c r="E25" i="14" s="1"/>
  <c r="B26" i="14" s="1"/>
  <c r="C22" i="13"/>
  <c r="D22" i="13" s="1"/>
  <c r="E22" i="13" s="1"/>
  <c r="B23" i="13" s="1"/>
  <c r="C19" i="12"/>
  <c r="D19" i="12" s="1"/>
  <c r="E19" i="12" s="1"/>
  <c r="B20" i="12" s="1"/>
  <c r="C26" i="14" l="1"/>
  <c r="D26" i="14" s="1"/>
  <c r="E26" i="14" s="1"/>
  <c r="B27" i="14" s="1"/>
  <c r="C23" i="13"/>
  <c r="D23" i="13" s="1"/>
  <c r="E23" i="13" s="1"/>
  <c r="B24" i="13" s="1"/>
  <c r="C20" i="12"/>
  <c r="D20" i="12" s="1"/>
  <c r="E20" i="12" s="1"/>
  <c r="B21" i="12" s="1"/>
  <c r="C27" i="14" l="1"/>
  <c r="D27" i="14" s="1"/>
  <c r="E27" i="14" s="1"/>
  <c r="B28" i="14" s="1"/>
  <c r="C24" i="13"/>
  <c r="D24" i="13" s="1"/>
  <c r="E24" i="13"/>
  <c r="B25" i="13" s="1"/>
  <c r="C21" i="12"/>
  <c r="D21" i="12" s="1"/>
  <c r="E21" i="12" s="1"/>
  <c r="B22" i="12" s="1"/>
  <c r="C28" i="14" l="1"/>
  <c r="D28" i="14" s="1"/>
  <c r="E28" i="14" s="1"/>
  <c r="B29" i="14" s="1"/>
  <c r="C25" i="13"/>
  <c r="D25" i="13" s="1"/>
  <c r="E25" i="13"/>
  <c r="B26" i="13" s="1"/>
  <c r="C22" i="12"/>
  <c r="D22" i="12" s="1"/>
  <c r="E22" i="12" s="1"/>
  <c r="B23" i="12" s="1"/>
  <c r="C29" i="14" l="1"/>
  <c r="D29" i="14" s="1"/>
  <c r="E29" i="14" s="1"/>
  <c r="B30" i="14" s="1"/>
  <c r="C26" i="13"/>
  <c r="D26" i="13" s="1"/>
  <c r="E26" i="13"/>
  <c r="B27" i="13" s="1"/>
  <c r="C23" i="12"/>
  <c r="D23" i="12" s="1"/>
  <c r="E23" i="12" s="1"/>
  <c r="B24" i="12" s="1"/>
  <c r="C30" i="14" l="1"/>
  <c r="D30" i="14" s="1"/>
  <c r="E30" i="14" s="1"/>
  <c r="B31" i="14" s="1"/>
  <c r="C27" i="13"/>
  <c r="D27" i="13" s="1"/>
  <c r="E27" i="13"/>
  <c r="B28" i="13" s="1"/>
  <c r="C24" i="12"/>
  <c r="D24" i="12" s="1"/>
  <c r="E24" i="12" s="1"/>
  <c r="B25" i="12" s="1"/>
  <c r="C31" i="14" l="1"/>
  <c r="D31" i="14" s="1"/>
  <c r="E31" i="14" s="1"/>
  <c r="B32" i="14" s="1"/>
  <c r="C28" i="13"/>
  <c r="D28" i="13" s="1"/>
  <c r="E28" i="13" s="1"/>
  <c r="B29" i="13" s="1"/>
  <c r="C25" i="12"/>
  <c r="D25" i="12" s="1"/>
  <c r="E25" i="12" s="1"/>
  <c r="B26" i="12" s="1"/>
  <c r="C32" i="14" l="1"/>
  <c r="D32" i="14" s="1"/>
  <c r="E32" i="14" s="1"/>
  <c r="B33" i="14" s="1"/>
  <c r="C29" i="13"/>
  <c r="D29" i="13" s="1"/>
  <c r="E29" i="13" s="1"/>
  <c r="B30" i="13" s="1"/>
  <c r="C26" i="12"/>
  <c r="D26" i="12" s="1"/>
  <c r="E26" i="12" s="1"/>
  <c r="B27" i="12" s="1"/>
  <c r="C33" i="14" l="1"/>
  <c r="D33" i="14" s="1"/>
  <c r="E33" i="14" s="1"/>
  <c r="B34" i="14" s="1"/>
  <c r="C30" i="13"/>
  <c r="D30" i="13" s="1"/>
  <c r="E30" i="13" s="1"/>
  <c r="B31" i="13" s="1"/>
  <c r="C27" i="12"/>
  <c r="D27" i="12" s="1"/>
  <c r="E27" i="12" s="1"/>
  <c r="B28" i="12" s="1"/>
  <c r="C34" i="14" l="1"/>
  <c r="D34" i="14" s="1"/>
  <c r="E34" i="14" s="1"/>
  <c r="B35" i="14" s="1"/>
  <c r="C31" i="13"/>
  <c r="D31" i="13" s="1"/>
  <c r="E31" i="13" s="1"/>
  <c r="B32" i="13" s="1"/>
  <c r="C28" i="12"/>
  <c r="D28" i="12" s="1"/>
  <c r="E28" i="12" s="1"/>
  <c r="B29" i="12" s="1"/>
  <c r="C35" i="14" l="1"/>
  <c r="D35" i="14" s="1"/>
  <c r="E35" i="14" s="1"/>
  <c r="B36" i="14" s="1"/>
  <c r="C32" i="13"/>
  <c r="D32" i="13" s="1"/>
  <c r="E32" i="13" s="1"/>
  <c r="B33" i="13" s="1"/>
  <c r="C29" i="12"/>
  <c r="D29" i="12" s="1"/>
  <c r="E29" i="12" s="1"/>
  <c r="B30" i="12" s="1"/>
  <c r="C36" i="14" l="1"/>
  <c r="D36" i="14" s="1"/>
  <c r="E36" i="14" s="1"/>
  <c r="B37" i="14" s="1"/>
  <c r="C33" i="13"/>
  <c r="D33" i="13" s="1"/>
  <c r="E33" i="13" s="1"/>
  <c r="B34" i="13" s="1"/>
  <c r="C30" i="12"/>
  <c r="D30" i="12" s="1"/>
  <c r="E30" i="12" s="1"/>
  <c r="B31" i="12" s="1"/>
  <c r="C37" i="14" l="1"/>
  <c r="D37" i="14" s="1"/>
  <c r="E37" i="14" s="1"/>
  <c r="B38" i="14" s="1"/>
  <c r="C34" i="13"/>
  <c r="D34" i="13" s="1"/>
  <c r="E34" i="13" s="1"/>
  <c r="B35" i="13" s="1"/>
  <c r="C31" i="12"/>
  <c r="C38" i="14" l="1"/>
  <c r="D38" i="14" s="1"/>
  <c r="E38" i="14" s="1"/>
  <c r="B39" i="14" s="1"/>
  <c r="C35" i="13"/>
  <c r="D35" i="13" s="1"/>
  <c r="E35" i="13" s="1"/>
  <c r="B36" i="13" s="1"/>
  <c r="D31" i="12"/>
  <c r="C32" i="12"/>
  <c r="C39" i="14" l="1"/>
  <c r="D39" i="14" s="1"/>
  <c r="E39" i="14" s="1"/>
  <c r="B40" i="14" s="1"/>
  <c r="C36" i="13"/>
  <c r="D36" i="13" s="1"/>
  <c r="E36" i="13" s="1"/>
  <c r="B37" i="13" s="1"/>
  <c r="D32" i="12"/>
  <c r="E31" i="12"/>
  <c r="C40" i="14" l="1"/>
  <c r="D40" i="14" s="1"/>
  <c r="E40" i="14" s="1"/>
  <c r="B41" i="14" s="1"/>
  <c r="C37" i="13"/>
  <c r="D37" i="13" s="1"/>
  <c r="E37" i="13" s="1"/>
  <c r="B38" i="13" s="1"/>
  <c r="C41" i="14" l="1"/>
  <c r="D41" i="14" s="1"/>
  <c r="E41" i="14" s="1"/>
  <c r="B42" i="14" s="1"/>
  <c r="C38" i="13"/>
  <c r="D38" i="13" s="1"/>
  <c r="E38" i="13" s="1"/>
  <c r="B39" i="13" s="1"/>
  <c r="C42" i="14" l="1"/>
  <c r="D42" i="14" s="1"/>
  <c r="E42" i="14" s="1"/>
  <c r="B43" i="14" s="1"/>
  <c r="C39" i="13"/>
  <c r="D39" i="13" s="1"/>
  <c r="E39" i="13" s="1"/>
  <c r="B40" i="13" s="1"/>
  <c r="C43" i="14" l="1"/>
  <c r="D43" i="14" s="1"/>
  <c r="E43" i="14" s="1"/>
  <c r="B44" i="14" s="1"/>
  <c r="C40" i="13"/>
  <c r="D40" i="13" s="1"/>
  <c r="E40" i="13" s="1"/>
  <c r="B41" i="13" s="1"/>
  <c r="C44" i="14" l="1"/>
  <c r="D44" i="14" s="1"/>
  <c r="E44" i="14"/>
  <c r="B45" i="14" s="1"/>
  <c r="C41" i="13"/>
  <c r="D41" i="13" s="1"/>
  <c r="E41" i="13" s="1"/>
  <c r="B42" i="13" s="1"/>
  <c r="C45" i="14" l="1"/>
  <c r="D45" i="14" s="1"/>
  <c r="E45" i="14" s="1"/>
  <c r="B46" i="14" s="1"/>
  <c r="C42" i="13"/>
  <c r="D42" i="13" s="1"/>
  <c r="E42" i="13" s="1"/>
  <c r="B43" i="13" s="1"/>
  <c r="C46" i="14" l="1"/>
  <c r="D46" i="14" s="1"/>
  <c r="E46" i="14" s="1"/>
  <c r="B47" i="14" s="1"/>
  <c r="C43" i="13"/>
  <c r="D43" i="13" s="1"/>
  <c r="E43" i="13" s="1"/>
  <c r="B44" i="13" s="1"/>
  <c r="C47" i="14" l="1"/>
  <c r="D47" i="14" s="1"/>
  <c r="E47" i="14" s="1"/>
  <c r="B48" i="14" s="1"/>
  <c r="C44" i="13"/>
  <c r="D44" i="13" s="1"/>
  <c r="E44" i="13" s="1"/>
  <c r="B45" i="13" s="1"/>
  <c r="C48" i="14" l="1"/>
  <c r="D48" i="14" s="1"/>
  <c r="E48" i="14" s="1"/>
  <c r="B49" i="14" s="1"/>
  <c r="C45" i="13"/>
  <c r="D45" i="13" s="1"/>
  <c r="E45" i="13" s="1"/>
  <c r="B46" i="13" s="1"/>
  <c r="C49" i="14" l="1"/>
  <c r="D49" i="14" s="1"/>
  <c r="E49" i="14" s="1"/>
  <c r="B50" i="14" s="1"/>
  <c r="C46" i="13"/>
  <c r="D46" i="13" s="1"/>
  <c r="E46" i="13" s="1"/>
  <c r="B47" i="13" s="1"/>
  <c r="C50" i="14" l="1"/>
  <c r="D50" i="14" s="1"/>
  <c r="E50" i="14" s="1"/>
  <c r="B51" i="14" s="1"/>
  <c r="C47" i="13"/>
  <c r="D47" i="13" s="1"/>
  <c r="E47" i="13" s="1"/>
  <c r="B48" i="13" s="1"/>
  <c r="C51" i="14" l="1"/>
  <c r="D51" i="14" s="1"/>
  <c r="E51" i="14" s="1"/>
  <c r="B52" i="14" s="1"/>
  <c r="C48" i="13"/>
  <c r="D48" i="13" s="1"/>
  <c r="E48" i="13" s="1"/>
  <c r="B49" i="13" s="1"/>
  <c r="C52" i="14" l="1"/>
  <c r="D52" i="14" s="1"/>
  <c r="E52" i="14" s="1"/>
  <c r="B53" i="14" s="1"/>
  <c r="C49" i="13"/>
  <c r="D49" i="13" s="1"/>
  <c r="E49" i="13" s="1"/>
  <c r="B50" i="13" s="1"/>
  <c r="C53" i="14" l="1"/>
  <c r="D53" i="14" s="1"/>
  <c r="E53" i="14" s="1"/>
  <c r="B54" i="14" s="1"/>
  <c r="C50" i="13"/>
  <c r="D50" i="13" s="1"/>
  <c r="E50" i="13" s="1"/>
  <c r="B51" i="13" s="1"/>
  <c r="C54" i="14" l="1"/>
  <c r="D54" i="14" s="1"/>
  <c r="E54" i="14" s="1"/>
  <c r="B55" i="14" s="1"/>
  <c r="C51" i="13"/>
  <c r="D51" i="13" s="1"/>
  <c r="E51" i="13" s="1"/>
  <c r="B52" i="13" s="1"/>
  <c r="C55" i="14" l="1"/>
  <c r="C52" i="13"/>
  <c r="D52" i="13" s="1"/>
  <c r="E52" i="13" s="1"/>
  <c r="B53" i="13" s="1"/>
  <c r="D55" i="14" l="1"/>
  <c r="C56" i="14"/>
  <c r="C53" i="13"/>
  <c r="D53" i="13" s="1"/>
  <c r="E53" i="13" s="1"/>
  <c r="B54" i="13" s="1"/>
  <c r="D56" i="14" l="1"/>
  <c r="E55" i="14"/>
  <c r="C54" i="13"/>
  <c r="D54" i="13" s="1"/>
  <c r="E54" i="13" s="1"/>
  <c r="B55" i="13" s="1"/>
  <c r="C55" i="13" l="1"/>
  <c r="D55" i="13" l="1"/>
  <c r="C56" i="13"/>
  <c r="D56" i="13" l="1"/>
  <c r="E55" i="13"/>
  <c r="L3" i="10" l="1"/>
  <c r="F3" i="10"/>
  <c r="C3" i="10"/>
  <c r="M3" i="10"/>
  <c r="G3" i="10"/>
  <c r="K3" i="10"/>
  <c r="I3" i="10"/>
  <c r="H3" i="10"/>
  <c r="E3" i="10"/>
  <c r="B3" i="10"/>
  <c r="B4" i="10" s="1"/>
  <c r="D3" i="10"/>
  <c r="J3" i="10"/>
  <c r="B8" i="10" l="1"/>
  <c r="T11" i="10" s="1"/>
  <c r="B6" i="10" l="1"/>
  <c r="C2" i="10" s="1"/>
  <c r="C75" i="2"/>
  <c r="C8" i="10" l="1"/>
  <c r="U11" i="10" s="1"/>
  <c r="C4" i="10"/>
  <c r="K10" i="4"/>
  <c r="L10" i="4"/>
  <c r="E38" i="5"/>
  <c r="H20" i="4"/>
  <c r="E35" i="5"/>
  <c r="U62" i="10" l="1"/>
  <c r="C6" i="10"/>
  <c r="D2" i="10" s="1"/>
  <c r="D5" i="10" s="1"/>
  <c r="D42" i="5"/>
  <c r="C8" i="2"/>
  <c r="C9" i="2"/>
  <c r="D8" i="10" l="1"/>
  <c r="V11" i="10" s="1"/>
  <c r="D4" i="10"/>
  <c r="E41" i="5"/>
  <c r="E42" i="5" s="1"/>
  <c r="V62" i="10" l="1"/>
  <c r="W34" i="10"/>
  <c r="W59" i="10" s="1"/>
  <c r="D6" i="10"/>
  <c r="E2" i="10" s="1"/>
  <c r="B17" i="9"/>
  <c r="B11" i="9"/>
  <c r="Y19" i="5"/>
  <c r="E5" i="10" l="1"/>
  <c r="E8" i="10" s="1"/>
  <c r="W11" i="10" s="1"/>
  <c r="W62" i="10" s="1"/>
  <c r="E4" i="10"/>
  <c r="E6" i="10" s="1"/>
  <c r="F2" i="10" s="1"/>
  <c r="F5" i="10" s="1"/>
  <c r="B19" i="9"/>
  <c r="C13" i="2" s="1"/>
  <c r="C42" i="2"/>
  <c r="H17" i="4"/>
  <c r="H21" i="4" s="1"/>
  <c r="F8" i="10" l="1"/>
  <c r="X11" i="10" s="1"/>
  <c r="F4" i="10"/>
  <c r="D57" i="1"/>
  <c r="D50" i="1"/>
  <c r="D46" i="1"/>
  <c r="D34" i="1"/>
  <c r="D31" i="1"/>
  <c r="D20" i="1"/>
  <c r="D17" i="1"/>
  <c r="X62" i="10" l="1"/>
  <c r="F6" i="10"/>
  <c r="G2" i="10" s="1"/>
  <c r="G5" i="10" s="1"/>
  <c r="D51" i="1"/>
  <c r="D35" i="1"/>
  <c r="G4" i="10" l="1"/>
  <c r="B26" i="2"/>
  <c r="B27" i="2" l="1"/>
  <c r="X22" i="5"/>
  <c r="C11" i="2" l="1"/>
  <c r="C28" i="5"/>
  <c r="T22" i="5"/>
  <c r="V22" i="5" s="1"/>
  <c r="Q22" i="5"/>
  <c r="S22" i="5" s="1"/>
  <c r="W21" i="5"/>
  <c r="Y21" i="5" s="1"/>
  <c r="W20" i="5"/>
  <c r="Y20" i="5" s="1"/>
  <c r="W18" i="5"/>
  <c r="Y18" i="5" s="1"/>
  <c r="W17" i="5"/>
  <c r="Y17" i="5" s="1"/>
  <c r="W16" i="5"/>
  <c r="Y16" i="5" s="1"/>
  <c r="W15" i="5"/>
  <c r="Y15" i="5" s="1"/>
  <c r="W14" i="5"/>
  <c r="Y14" i="5" s="1"/>
  <c r="W13" i="5"/>
  <c r="Y13" i="5" s="1"/>
  <c r="W12" i="5"/>
  <c r="Y12" i="5" s="1"/>
  <c r="W11" i="5"/>
  <c r="N22" i="5"/>
  <c r="P22" i="5" s="1"/>
  <c r="K22" i="5"/>
  <c r="M22" i="5" s="1"/>
  <c r="H22" i="5"/>
  <c r="J22" i="5" s="1"/>
  <c r="E22" i="5"/>
  <c r="G22" i="5" s="1"/>
  <c r="B22" i="5"/>
  <c r="D22" i="5" s="1"/>
  <c r="C15" i="2" l="1"/>
  <c r="Y11" i="5"/>
  <c r="W25" i="5"/>
  <c r="X25" i="5" s="1"/>
  <c r="W22" i="5"/>
  <c r="C30" i="5" l="1"/>
  <c r="W26" i="5"/>
  <c r="X26" i="5" s="1"/>
  <c r="B27" i="5" l="1"/>
  <c r="E27" i="5" s="1"/>
  <c r="B26" i="5" l="1"/>
  <c r="D28" i="5"/>
  <c r="E28" i="5" s="1"/>
  <c r="B28" i="5" l="1"/>
  <c r="E26" i="5"/>
  <c r="H22" i="4"/>
  <c r="C10" i="1" l="1"/>
  <c r="D12" i="1" s="1"/>
  <c r="B31" i="2"/>
  <c r="B32" i="2" l="1"/>
  <c r="C33" i="2" s="1"/>
  <c r="C76" i="2" s="1"/>
  <c r="C77" i="2" l="1"/>
  <c r="G16" i="6"/>
  <c r="G18" i="6" s="1"/>
  <c r="H15" i="6"/>
  <c r="H14" i="6"/>
  <c r="H13" i="6"/>
  <c r="C58" i="1" l="1"/>
  <c r="H16" i="6"/>
  <c r="D21" i="1" l="1"/>
  <c r="D36" i="1" l="1"/>
  <c r="C61" i="1" l="1"/>
  <c r="D66" i="1"/>
  <c r="D62" i="1" l="1"/>
  <c r="D63" i="1" s="1"/>
  <c r="D65" i="1" l="1"/>
  <c r="G8" i="10" l="1"/>
  <c r="Y11" i="10" s="1"/>
  <c r="N3" i="10"/>
  <c r="Y62" i="10" l="1"/>
  <c r="Z34" i="10"/>
  <c r="G6" i="10"/>
  <c r="H2" i="10" s="1"/>
  <c r="H5" i="10" s="1"/>
  <c r="H4" i="10" l="1"/>
  <c r="Z59" i="10"/>
  <c r="H8" i="10"/>
  <c r="Z11" i="10" s="1"/>
  <c r="Z62" i="10" l="1"/>
  <c r="H6" i="10"/>
  <c r="I2" i="10" s="1"/>
  <c r="I5" i="10" s="1"/>
  <c r="I8" i="10" l="1"/>
  <c r="AA11" i="10" s="1"/>
  <c r="AA62" i="10" s="1"/>
  <c r="I4" i="10"/>
  <c r="I6" i="10" l="1"/>
  <c r="J2" i="10" s="1"/>
  <c r="J5" i="10" l="1"/>
  <c r="J8" i="10" s="1"/>
  <c r="AB11" i="10" s="1"/>
  <c r="J4" i="10"/>
  <c r="J6" i="10" s="1"/>
  <c r="K2" i="10" s="1"/>
  <c r="K5" i="10" s="1"/>
  <c r="AC34" i="10" l="1"/>
  <c r="AF34" i="10" s="1"/>
  <c r="AB62" i="10"/>
  <c r="K8" i="10"/>
  <c r="AC11" i="10" s="1"/>
  <c r="AC59" i="10"/>
  <c r="K4" i="10"/>
  <c r="K6" i="10" s="1"/>
  <c r="L2" i="10" s="1"/>
  <c r="L5" i="10" s="1"/>
  <c r="AC62" i="10" l="1"/>
  <c r="AG34" i="10"/>
  <c r="L4" i="10"/>
  <c r="L6" i="10" s="1"/>
  <c r="M2" i="10" s="1"/>
  <c r="M5" i="10" s="1"/>
  <c r="L8" i="10"/>
  <c r="AD11" i="10" s="1"/>
  <c r="AD62" i="10" s="1"/>
  <c r="M8" i="10" l="1"/>
  <c r="AE11" i="10" s="1"/>
  <c r="AE62" i="10" s="1"/>
  <c r="M4" i="10"/>
  <c r="N5" i="10" l="1"/>
  <c r="AG11" i="10" s="1"/>
  <c r="N8" i="10"/>
  <c r="AF11" i="10" s="1"/>
  <c r="M6" i="10"/>
  <c r="AF40" i="15" l="1"/>
  <c r="AG40" i="15" s="1"/>
  <c r="T60" i="15"/>
  <c r="AF35" i="15" l="1"/>
  <c r="AG35" i="15" s="1"/>
  <c r="AG60" i="15" s="1"/>
  <c r="T63" i="15"/>
  <c r="T65" i="15" s="1"/>
  <c r="U8" i="15" s="1"/>
  <c r="AF37" i="15"/>
  <c r="U60" i="15"/>
  <c r="U63" i="15" s="1"/>
  <c r="AF60" i="15" l="1"/>
  <c r="U65" i="15"/>
  <c r="V8" i="15" s="1"/>
  <c r="V65" i="15" s="1"/>
  <c r="W8" i="15" s="1"/>
  <c r="W65" i="15" s="1"/>
  <c r="X8" i="15" s="1"/>
  <c r="X65" i="15" s="1"/>
  <c r="Y8" i="15" s="1"/>
  <c r="Y65" i="15" s="1"/>
  <c r="Z8" i="15" s="1"/>
  <c r="Z65" i="15" s="1"/>
  <c r="AA8" i="15" s="1"/>
  <c r="AA65" i="15" s="1"/>
  <c r="AB8" i="15" s="1"/>
  <c r="AB65" i="15" s="1"/>
  <c r="AC8" i="15" s="1"/>
  <c r="AC65" i="15" s="1"/>
  <c r="AD8" i="15" s="1"/>
  <c r="AD65" i="15" s="1"/>
  <c r="AE8" i="15" s="1"/>
  <c r="AE65" i="15" s="1"/>
  <c r="AF61" i="10" l="1"/>
  <c r="AF52" i="10"/>
  <c r="AF59" i="10" s="1"/>
  <c r="T59" i="10"/>
  <c r="AF60" i="10" s="1"/>
  <c r="T62" i="10"/>
  <c r="T64" i="10" s="1"/>
  <c r="U8" i="10" s="1"/>
  <c r="U64" i="10" s="1"/>
  <c r="V8" i="10" s="1"/>
  <c r="V64" i="10" s="1"/>
  <c r="W8" i="10" s="1"/>
  <c r="W64" i="10" s="1"/>
  <c r="X8" i="10" s="1"/>
  <c r="X64" i="10" s="1"/>
  <c r="Y8" i="10" s="1"/>
  <c r="Y64" i="10" s="1"/>
  <c r="Z8" i="10" s="1"/>
  <c r="Z64" i="10" s="1"/>
  <c r="AA8" i="10" s="1"/>
  <c r="AA64" i="10" s="1"/>
  <c r="AB8" i="10" s="1"/>
  <c r="AB64" i="10" s="1"/>
  <c r="AC8" i="10" s="1"/>
  <c r="AC64" i="10" s="1"/>
  <c r="AD8" i="10" s="1"/>
  <c r="AD64" i="10" s="1"/>
  <c r="AE8" i="10" s="1"/>
  <c r="AE64" i="10" s="1"/>
  <c r="AG52" i="10" l="1"/>
  <c r="AG59" i="10" s="1"/>
</calcChain>
</file>

<file path=xl/comments1.xml><?xml version="1.0" encoding="utf-8"?>
<comments xmlns="http://schemas.openxmlformats.org/spreadsheetml/2006/main">
  <authors>
    <author>Author</author>
  </authors>
  <commentList>
    <comment ref="T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statement of financial position 30/6/2015
 </t>
        </r>
      </text>
    </comment>
    <comment ref="AG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forecasted income statement but with GST added.</t>
        </r>
      </text>
    </comment>
  </commentList>
</comments>
</file>

<file path=xl/comments2.xml><?xml version="1.0" encoding="utf-8"?>
<comments xmlns="http://schemas.openxmlformats.org/spreadsheetml/2006/main">
  <authors>
    <author>Author</author>
    <author>Adele Mander Feakes</author>
  </authors>
  <commentList>
    <comment ref="T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statement of financial position 30/6/2015
 </t>
        </r>
      </text>
    </comment>
    <comment ref="AG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forecasted income statement but with GST added.</t>
        </r>
      </text>
    </comment>
    <comment ref="AA43" authorId="1">
      <text>
        <r>
          <rPr>
            <b/>
            <sz val="9"/>
            <color indexed="81"/>
            <rFont val="Tahoma"/>
            <charset val="1"/>
          </rPr>
          <t>Adele Mander Feakes:</t>
        </r>
        <r>
          <rPr>
            <sz val="9"/>
            <color indexed="81"/>
            <rFont val="Tahoma"/>
            <charset val="1"/>
          </rPr>
          <t xml:space="preserve">
Ben &amp; Marie holidays at same time in February - so need locum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T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statement of financial position 30/6/2014
 </t>
        </r>
      </text>
    </comment>
    <comment ref="AG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forecasted income statement but with GST added.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T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statement of financial position 30/6/2014
 </t>
        </r>
      </text>
    </comment>
    <comment ref="AG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forecasted income statement but with GST added.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T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statement of financial position 30/6/2014
 </t>
        </r>
      </text>
    </comment>
    <comment ref="AG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forecasted income statement but with GST added.</t>
        </r>
      </text>
    </comment>
  </commentList>
</comments>
</file>

<file path=xl/sharedStrings.xml><?xml version="1.0" encoding="utf-8"?>
<sst xmlns="http://schemas.openxmlformats.org/spreadsheetml/2006/main" count="1091" uniqueCount="359">
  <si>
    <t>Contributed Capital</t>
  </si>
  <si>
    <t>Gross Profit</t>
  </si>
  <si>
    <t>AVA Membershipand other dues</t>
  </si>
  <si>
    <t>Advertising and Promotion</t>
  </si>
  <si>
    <t>Electricity &amp; Gas</t>
  </si>
  <si>
    <t>Insurance - Land &amp; Buildings</t>
  </si>
  <si>
    <t>Insurance - Motor Vehicles</t>
  </si>
  <si>
    <t>Petty Cash</t>
  </si>
  <si>
    <t>Vaccinations</t>
  </si>
  <si>
    <t>Travel</t>
  </si>
  <si>
    <t>Opening Stock</t>
  </si>
  <si>
    <t>Financial Analysis - by Type of Transaction</t>
  </si>
  <si>
    <t>Total</t>
  </si>
  <si>
    <t>Client Retention Analysis</t>
  </si>
  <si>
    <t xml:space="preserve">Period 1: </t>
  </si>
  <si>
    <t>to</t>
  </si>
  <si>
    <t>Period 2:</t>
  </si>
  <si>
    <t xml:space="preserve">Total Clients with sales in period 1: </t>
  </si>
  <si>
    <t>Total Clients with sales in period 2:</t>
  </si>
  <si>
    <t>Made up of:</t>
  </si>
  <si>
    <t>clients with sales in both periods</t>
  </si>
  <si>
    <t>clients added in period 2 with sales in period 2</t>
  </si>
  <si>
    <t xml:space="preserve">Total Cash &amp; Receivables </t>
  </si>
  <si>
    <t>Workers Compensation @ 1.75%</t>
  </si>
  <si>
    <t>Loose tool replacement</t>
  </si>
  <si>
    <t>Computer Software &amp; Maintenance</t>
  </si>
  <si>
    <t>Bad Debts Written Off</t>
  </si>
  <si>
    <t>Total Expenses</t>
  </si>
  <si>
    <t>PRODUCT &amp; SERVICE ANALYSIS</t>
  </si>
  <si>
    <t>By Species by Vet</t>
  </si>
  <si>
    <t>Display - All Charge Values (not including GST)</t>
  </si>
  <si>
    <t>Clinic - All</t>
  </si>
  <si>
    <t>Options - All Sales</t>
  </si>
  <si>
    <t>Alpaca</t>
  </si>
  <si>
    <t>Bird</t>
  </si>
  <si>
    <t>Cat</t>
  </si>
  <si>
    <t>Cattle</t>
  </si>
  <si>
    <t>Dog</t>
  </si>
  <si>
    <t>Donkey</t>
  </si>
  <si>
    <t>Ferret</t>
  </si>
  <si>
    <t>Goat</t>
  </si>
  <si>
    <t>Horse</t>
  </si>
  <si>
    <t>Sheep</t>
  </si>
  <si>
    <t>Wildlife</t>
  </si>
  <si>
    <t>Dispensing fees</t>
  </si>
  <si>
    <t>Fleas &amp; Parasite</t>
  </si>
  <si>
    <t>Merchandise</t>
  </si>
  <si>
    <t>Prescription Medicines</t>
  </si>
  <si>
    <t>Professional fees</t>
  </si>
  <si>
    <t>Drs O'Grady &amp; Grant &amp; Associates</t>
  </si>
  <si>
    <t>Dr Jack O'Grady</t>
  </si>
  <si>
    <t>Dr Ben 0'Grady</t>
  </si>
  <si>
    <t>Dr Kristy Ng</t>
  </si>
  <si>
    <t>Dr Bob Grant</t>
  </si>
  <si>
    <t>Dr Marie Smith</t>
  </si>
  <si>
    <t>Body Removal &amp; Disposal</t>
  </si>
  <si>
    <t>Total Inventory</t>
  </si>
  <si>
    <t>Wages - BO'G</t>
  </si>
  <si>
    <t>Wages - JN</t>
  </si>
  <si>
    <t>Wages - KNg</t>
  </si>
  <si>
    <t>Wages - MS</t>
  </si>
  <si>
    <t>Wages 5 nurses</t>
  </si>
  <si>
    <t>Superannuation guarantee@ 9%</t>
  </si>
  <si>
    <t>Nurses</t>
  </si>
  <si>
    <t>Lamone</t>
  </si>
  <si>
    <t>Yackaville</t>
  </si>
  <si>
    <t>largies</t>
  </si>
  <si>
    <t>smallies</t>
  </si>
  <si>
    <t>Totals</t>
  </si>
  <si>
    <t>Branch Income</t>
  </si>
  <si>
    <t>large animals</t>
  </si>
  <si>
    <t>RETAINED 64%</t>
  </si>
  <si>
    <t>NEW 27%</t>
  </si>
  <si>
    <t>RETURNED 9%</t>
  </si>
  <si>
    <t>Bank Account</t>
  </si>
  <si>
    <t xml:space="preserve"> Trade Debtors/Accounts Receivable</t>
  </si>
  <si>
    <t>Change Fund</t>
  </si>
  <si>
    <t xml:space="preserve"> Less:  Allowance for Doubtful Accounts</t>
  </si>
  <si>
    <t xml:space="preserve">Inventory  </t>
  </si>
  <si>
    <t>Provision for slow/obsolete inventory</t>
  </si>
  <si>
    <t>Drugs &amp; medical supplies</t>
  </si>
  <si>
    <t>Prepayments</t>
  </si>
  <si>
    <t xml:space="preserve">Fixed Assets </t>
  </si>
  <si>
    <t>Computer Hardware/ software</t>
  </si>
  <si>
    <t>Furniture and Fittings</t>
  </si>
  <si>
    <t>Intangible Assets</t>
  </si>
  <si>
    <t>Goodwill</t>
  </si>
  <si>
    <t>Total non-current Assets</t>
  </si>
  <si>
    <t>Total Assets</t>
  </si>
  <si>
    <t>Liabilities</t>
  </si>
  <si>
    <t xml:space="preserve">GST Paid </t>
  </si>
  <si>
    <t>Annual Leave Provision</t>
  </si>
  <si>
    <t xml:space="preserve">Total Long-Term (Non-Current) Liabilities </t>
  </si>
  <si>
    <t>Total Liabilities</t>
  </si>
  <si>
    <t xml:space="preserve">Equity </t>
  </si>
  <si>
    <t>Retained earnings</t>
  </si>
  <si>
    <t xml:space="preserve">Total Contributed Capital   </t>
  </si>
  <si>
    <t xml:space="preserve">Total Assets </t>
  </si>
  <si>
    <t>JO'G salary</t>
  </si>
  <si>
    <t>BG salary</t>
  </si>
  <si>
    <t xml:space="preserve">Veterinarians </t>
  </si>
  <si>
    <t>Accounts payable/ Trade Creditors</t>
  </si>
  <si>
    <t>GST Collected</t>
  </si>
  <si>
    <t>Contributed Equity Partner 2</t>
  </si>
  <si>
    <t>Lamone &amp; Yackaville Veterinary Practice</t>
  </si>
  <si>
    <t xml:space="preserve">Income </t>
  </si>
  <si>
    <t>Prepayments &amp; Other Assets</t>
  </si>
  <si>
    <t>    Total Current Assets</t>
  </si>
  <si>
    <t>Assets</t>
  </si>
  <si>
    <t>Total Current Liabilities</t>
  </si>
  <si>
    <t>Current</t>
  </si>
  <si>
    <t>30 DAYS</t>
  </si>
  <si>
    <t xml:space="preserve">60DAYS </t>
  </si>
  <si>
    <t>90 DAYS</t>
  </si>
  <si>
    <t>Total Prepayments &amp; Other</t>
  </si>
  <si>
    <t>Plant and Equipment</t>
  </si>
  <si>
    <t>Accumulated Depreciation - Plant &amp; Equipment</t>
  </si>
  <si>
    <t>Motor Vehicles</t>
  </si>
  <si>
    <t>Accumulated Depreciation - Motor Vehicles</t>
  </si>
  <si>
    <t>Accumulated Depreciation - Furniture &amp; Fitting</t>
  </si>
  <si>
    <t>Accumulated Depreciation - Computer H&amp;S</t>
  </si>
  <si>
    <t>Total Fixed Assets</t>
  </si>
  <si>
    <t>Total Intangible Assets</t>
  </si>
  <si>
    <t>PAYG Payable</t>
  </si>
  <si>
    <t>Superannuation Payable</t>
  </si>
  <si>
    <t>Long Service Leave Provision</t>
  </si>
  <si>
    <t>Bank Loan - Equipment</t>
  </si>
  <si>
    <t>Bank Loan - Motor Vehicles</t>
  </si>
  <si>
    <t>Contributed Equity Partner 1</t>
  </si>
  <si>
    <t xml:space="preserve">Total Retained Earnings   </t>
  </si>
  <si>
    <t>Net Sales</t>
  </si>
  <si>
    <t>$</t>
  </si>
  <si>
    <t>GST</t>
  </si>
  <si>
    <t>No. Transactions</t>
  </si>
  <si>
    <t>Invoices (Sales)</t>
  </si>
  <si>
    <t>Payments Received</t>
  </si>
  <si>
    <t>Cash</t>
  </si>
  <si>
    <t>Cheque</t>
  </si>
  <si>
    <t>EFTPOS &amp; Credit Card</t>
  </si>
  <si>
    <t>Direct Deposit (EFT)</t>
  </si>
  <si>
    <t>add: Invoices (sales)</t>
  </si>
  <si>
    <t>less: Payments Received</t>
  </si>
  <si>
    <t>Closing Balance Accounts Receivable</t>
  </si>
  <si>
    <t>Opening Balance Accounts Receivable (01/07/12)</t>
  </si>
  <si>
    <t>less: Closing Stock</t>
  </si>
  <si>
    <t>Cost of Goods Sold</t>
  </si>
  <si>
    <t xml:space="preserve">Expenses </t>
  </si>
  <si>
    <t>Uniforms &amp; Protective Clothing</t>
  </si>
  <si>
    <t xml:space="preserve">Employee Related Expenses </t>
  </si>
  <si>
    <t>Locum Fees</t>
  </si>
  <si>
    <t>TOTAL SALARIES &amp; ONCOSTS</t>
  </si>
  <si>
    <t>TOTAL EMPLOYEE RELATED EXPENSES</t>
  </si>
  <si>
    <t>Continuing Education Expenses</t>
  </si>
  <si>
    <t>Staff Amenities, OHS</t>
  </si>
  <si>
    <t>Non-Veterinarian</t>
  </si>
  <si>
    <t>Council Rates</t>
  </si>
  <si>
    <t>Property &amp; Equipment Repairs and Maintenance</t>
  </si>
  <si>
    <t>Cleaning &amp; Waste Disposal</t>
  </si>
  <si>
    <t>Telecommunications &amp; Internet</t>
  </si>
  <si>
    <t>Imaging Equipment Lease</t>
  </si>
  <si>
    <t>Motor Vehicle Operating Expense</t>
  </si>
  <si>
    <t>Professional Indemnity Insurance</t>
  </si>
  <si>
    <t>Depreciation - Motor Vehicles</t>
  </si>
  <si>
    <t>Depreciation - Plant &amp; Equipment</t>
  </si>
  <si>
    <t>Depreciation - Computer Hardware &amp; Software</t>
  </si>
  <si>
    <t>Depreciation - Furniture &amp; Fittings</t>
  </si>
  <si>
    <t>Bank Fees &amp; Charges</t>
  </si>
  <si>
    <t>Accounting, Consultancy &amp; Legal Fees</t>
  </si>
  <si>
    <t>Printing &amp; Stationary</t>
  </si>
  <si>
    <t>Postage, Courier &amp; Freight</t>
  </si>
  <si>
    <t>Interest Paid - Overdraft</t>
  </si>
  <si>
    <t xml:space="preserve">Interest Paid - Trailer Loan </t>
  </si>
  <si>
    <t>Interest Paid - Equipment Loan</t>
  </si>
  <si>
    <t>Interest Paid - Motor Vehicle Loan</t>
  </si>
  <si>
    <t xml:space="preserve">Total Professional Fees </t>
  </si>
  <si>
    <t>OTC Stock</t>
  </si>
  <si>
    <t>Subscriptions, Journals &amp; Textbooks</t>
  </si>
  <si>
    <t>Debt collection expense</t>
  </si>
  <si>
    <t>Total Owners Equity</t>
  </si>
  <si>
    <t>Total Liabilities and Owners Equity</t>
  </si>
  <si>
    <t>Additional Paid-in Capital</t>
  </si>
  <si>
    <t>Current year earnings</t>
  </si>
  <si>
    <t>Cash &amp; Receivables</t>
  </si>
  <si>
    <t>Rent Premises  - Lamone &amp; Yackaville</t>
  </si>
  <si>
    <t xml:space="preserve">Superannuation guarantee@ 9% </t>
  </si>
  <si>
    <t>small animal</t>
  </si>
  <si>
    <t>Path/Lab Internal</t>
  </si>
  <si>
    <t>Path/Lab External</t>
  </si>
  <si>
    <t>Cost of Drugs &amp; Medical Supplies</t>
  </si>
  <si>
    <t>Other Variable Costs</t>
  </si>
  <si>
    <t>Total Other Variable Costs</t>
  </si>
  <si>
    <t>TOTAL COST OF GOODS SOLD (COGS)</t>
  </si>
  <si>
    <t>Salaries &amp; Oncosts</t>
  </si>
  <si>
    <t>Other Fixed Operating Costs</t>
  </si>
  <si>
    <t>TOTAL OTHER FIXED OPERATING COSTS</t>
  </si>
  <si>
    <t>less: Cost of Goods Sold</t>
  </si>
  <si>
    <t>add: Purchase Drugs, Medical Supplies &amp; OTC products</t>
  </si>
  <si>
    <t>Statement of Financial Position (Balance Sheet)</t>
  </si>
  <si>
    <t>INCOME STATEMENT (Profit &amp; Loss)</t>
  </si>
  <si>
    <t xml:space="preserve">Total Sales </t>
  </si>
  <si>
    <t>Net profit (before income tax)</t>
  </si>
  <si>
    <t>Drug &amp; Medical Sales</t>
  </si>
  <si>
    <t>Pathology (internal and external)</t>
  </si>
  <si>
    <t>Faecal Egg Counting - internal</t>
  </si>
  <si>
    <t xml:space="preserve">Drugs, Medical Supplies &amp; OTC </t>
  </si>
  <si>
    <t>Over the Counter preventative, dietary, merchandise</t>
  </si>
  <si>
    <t>Transact's</t>
  </si>
  <si>
    <t>Dr Jenny Nelson</t>
  </si>
  <si>
    <t>Avg $/Trans GST INC</t>
  </si>
  <si>
    <t>External Pathology Lab Fees</t>
  </si>
  <si>
    <t>Non-charged consumables, disinfectants etc</t>
  </si>
  <si>
    <t>Aged Receivables</t>
  </si>
  <si>
    <t>Lamone &amp; Yackaville  Veterinary Practice</t>
  </si>
  <si>
    <t xml:space="preserve">Insurance - Public Liability </t>
  </si>
  <si>
    <r>
      <t xml:space="preserve"> </t>
    </r>
    <r>
      <rPr>
        <sz val="9"/>
        <color rgb="FF000000"/>
        <rFont val="Arial Narrow"/>
        <family val="2"/>
      </rPr>
      <t> </t>
    </r>
  </si>
  <si>
    <t>July</t>
  </si>
  <si>
    <t>Aug</t>
  </si>
  <si>
    <t>Sept</t>
  </si>
  <si>
    <t>Oct</t>
  </si>
  <si>
    <t>Nov</t>
  </si>
  <si>
    <t>Dec</t>
  </si>
  <si>
    <t>Jan</t>
  </si>
  <si>
    <t>Feb</t>
  </si>
  <si>
    <t xml:space="preserve">Mar </t>
  </si>
  <si>
    <t>Apr</t>
  </si>
  <si>
    <t>May</t>
  </si>
  <si>
    <t>June</t>
  </si>
  <si>
    <t>YEAR</t>
  </si>
  <si>
    <t>test</t>
  </si>
  <si>
    <t>Otustanding from prev month</t>
  </si>
  <si>
    <t>Total sales the month</t>
  </si>
  <si>
    <t>includes GST</t>
  </si>
  <si>
    <t>Total due</t>
  </si>
  <si>
    <t>Receipted</t>
  </si>
  <si>
    <t>Oustanding at end of month</t>
  </si>
  <si>
    <t>Non-operational income</t>
  </si>
  <si>
    <t>Total Receipts</t>
  </si>
  <si>
    <t xml:space="preserve">Forecasted </t>
  </si>
  <si>
    <t xml:space="preserve">RECEIPTS SCHEDULE FOR CASH FLOW BUDGET BASED ON THE FOLLOWING ASSUMPTIONS OF CASH PAYMENTS AND ACCOUNTS ALLOWED FOR CLIENTS </t>
  </si>
  <si>
    <t>ASSUMPTIONS:</t>
  </si>
  <si>
    <t>50% of each months sales are paid within the month (at time of service) while 50% are put on account</t>
  </si>
  <si>
    <t>50% of outstanding accounts are paid by the end of the month while 50% of outstanding accounts are still unpaid and carried into the next month's outstandings</t>
  </si>
  <si>
    <t>FORECAST CASH FLOW BUDGET</t>
  </si>
  <si>
    <t xml:space="preserve">test </t>
  </si>
  <si>
    <t>from sources</t>
  </si>
  <si>
    <t xml:space="preserve">Total </t>
  </si>
  <si>
    <t>Notes</t>
  </si>
  <si>
    <t>($)</t>
  </si>
  <si>
    <t>Opening Cash Balance</t>
  </si>
  <si>
    <t>Incoming</t>
  </si>
  <si>
    <t>Receipts (including GST) from receipts schedule</t>
  </si>
  <si>
    <t>Total is payments received for the year, NOT sales made. (Includes GST)</t>
  </si>
  <si>
    <t>Total is purchases made in the year (incl GST), NOT cost of goods sold</t>
  </si>
  <si>
    <t>AVA Membership and other dues</t>
  </si>
  <si>
    <t>Net Cash Flow for Month</t>
  </si>
  <si>
    <t>Closing Cash Balance</t>
  </si>
  <si>
    <t>Assumptions</t>
  </si>
  <si>
    <t>Wages paid out of bank fortnightly on Thursday</t>
  </si>
  <si>
    <t>Lamone &amp; Yackaville VETERINARY CLINIC</t>
  </si>
  <si>
    <t>Expenses</t>
  </si>
  <si>
    <t>Purchases - Drugs &amp; Medical supplies, external lab</t>
  </si>
  <si>
    <t>Purchases - external lab</t>
  </si>
  <si>
    <t>Inc GST where applicable</t>
  </si>
  <si>
    <t>ex GST</t>
  </si>
  <si>
    <t>Monthly equipment loan example over 2 years</t>
  </si>
  <si>
    <t>Loan Calculator Mortgage</t>
  </si>
  <si>
    <t>Loan</t>
  </si>
  <si>
    <t>Monthly Interest</t>
  </si>
  <si>
    <t>interest rate per annum</t>
  </si>
  <si>
    <t>Length</t>
  </si>
  <si>
    <t>months</t>
  </si>
  <si>
    <t>Monthly Payment</t>
  </si>
  <si>
    <t>start date</t>
  </si>
  <si>
    <t>Opening</t>
  </si>
  <si>
    <t>Int</t>
  </si>
  <si>
    <t>Prin. Repay</t>
  </si>
  <si>
    <t>Closing</t>
  </si>
  <si>
    <t>Year</t>
  </si>
  <si>
    <t>total interest</t>
  </si>
  <si>
    <t>total principal</t>
  </si>
  <si>
    <t>Monthly Principal and Interest Payments e.g. for a car over 48 months</t>
  </si>
  <si>
    <t>per annum</t>
  </si>
  <si>
    <t>dec</t>
  </si>
  <si>
    <t>jan</t>
  </si>
  <si>
    <t>feb</t>
  </si>
  <si>
    <t>march</t>
  </si>
  <si>
    <t>april</t>
  </si>
  <si>
    <t>may</t>
  </si>
  <si>
    <t>june</t>
  </si>
  <si>
    <t>july</t>
  </si>
  <si>
    <t>aug</t>
  </si>
  <si>
    <t>sep</t>
  </si>
  <si>
    <t>oct</t>
  </si>
  <si>
    <t xml:space="preserve">nov </t>
  </si>
  <si>
    <t xml:space="preserve">jan </t>
  </si>
  <si>
    <t>Some telecommunication supplies are GST free</t>
  </si>
  <si>
    <t>Some education courses are GST free</t>
  </si>
  <si>
    <t>http://www.trc.qld.gov.au/sites/default/files/Water,%20Wastewater%20and%20Waste_0.pdf</t>
  </si>
  <si>
    <t>Most waste disposal includes GST apart from waste water and food disposal</t>
  </si>
  <si>
    <t>Individuals which make more than $75000 per 12 months are required to charge GST for their services</t>
  </si>
  <si>
    <t>http://archive.treasury.gov.au/documents/119/PDF/4gst.pdf</t>
  </si>
  <si>
    <t>http://www.sro.vic.gov.au/sro/sronav.nsf/v/5D9299B2FB4C9C65CA2578930004AF04/$file/Publication-PTX-016.pdf</t>
  </si>
  <si>
    <t>https://www.icfrith.com.au/resource/GIO%20NSW%20Proposal%20Form.pdf</t>
  </si>
  <si>
    <t>http://www.debtrecovered.com.au/debt-collection-services</t>
  </si>
  <si>
    <t>http://www.kmaccountingservices.com.au/index.php/articles/common-gst-mistakes-made-by-small-business/</t>
  </si>
  <si>
    <t>Domestic = GST, International = no-GST</t>
  </si>
  <si>
    <t>http://www.australiaeguide.com.au/australia-post.php</t>
  </si>
  <si>
    <t>https://www.ato.gov.au/business/gst/in-detail/rules-for-specific-transactions/international-transactions/gst-and-international-freight-transport/</t>
  </si>
  <si>
    <t>https://www.ato.gov.au/Business/Bus/Hire-purchase,-leasing-and-GST/</t>
  </si>
  <si>
    <t>https://www.ato.gov.au/General/Property/Property-used-in-running-a-business/Leasing-and-renting-commercial-premises/</t>
  </si>
  <si>
    <t>Principal Interest - Equipment</t>
  </si>
  <si>
    <t>Principal Interest - Animal Trailer</t>
  </si>
  <si>
    <t>Principal Interest - Motor Vehicles</t>
  </si>
  <si>
    <t>Opening cash balance is sum of bank account of June 2014 and petty cash and change fund</t>
  </si>
  <si>
    <t>Wages - New graduate</t>
  </si>
  <si>
    <t>now working double the hours after Kristy leaves</t>
  </si>
  <si>
    <t>Workers comp for vets</t>
  </si>
  <si>
    <t>Workers comp for nurses</t>
  </si>
  <si>
    <t>reconciliation</t>
  </si>
  <si>
    <t>Reconciliation</t>
  </si>
  <si>
    <t>75% of each months sales are paid within the month (at time of service) while 25% are put on account</t>
  </si>
  <si>
    <t>Making clients pay more at time with no other changes</t>
  </si>
  <si>
    <t xml:space="preserve">Kristy leaves end of November gets long service leave and holiday </t>
  </si>
  <si>
    <t>Starts in November</t>
  </si>
  <si>
    <t>Going to part time in Decomber</t>
  </si>
  <si>
    <t>Leaving in November, gets paid long service leave and holiday</t>
  </si>
  <si>
    <t>1st Jun 2015-  Jun 2016</t>
  </si>
  <si>
    <t>1/7/14 to 30/6/15</t>
  </si>
  <si>
    <t>clients with sales in period 1 but not in period 2</t>
  </si>
  <si>
    <t>LAPSED CLIENTS</t>
  </si>
  <si>
    <t>ACTIVE CLIENTS</t>
  </si>
  <si>
    <t>TOTAL CLIENTS</t>
  </si>
  <si>
    <t>%OF ACTIVE</t>
  </si>
  <si>
    <t>% OF TOTAL</t>
  </si>
  <si>
    <t>clients from before period 1 with sales in period 2 only</t>
  </si>
  <si>
    <t>Period:  From 01/07/2014 to 30/06/2015</t>
  </si>
  <si>
    <t>1 Jul 2014 to 30 Jun 2015</t>
  </si>
  <si>
    <t xml:space="preserve">* note MS began working 0.5 FTE Feb 1st 2015 @ $90,000 FTE </t>
  </si>
  <si>
    <t>June 30, 2015</t>
  </si>
  <si>
    <t>Monthly Principal and Interest Payments over 48 months</t>
  </si>
  <si>
    <t>mar</t>
  </si>
  <si>
    <t>apr</t>
  </si>
  <si>
    <t>jun</t>
  </si>
  <si>
    <t>jul</t>
  </si>
  <si>
    <t>sept</t>
  </si>
  <si>
    <t>Note at July 1st 2015 equipment loan was renegotiated with finance company to obtain lower interest rates</t>
  </si>
  <si>
    <t>note - vehicle loan negotiated with finance company for lower interest rates.</t>
  </si>
  <si>
    <t>from july 1st 2015</t>
  </si>
  <si>
    <t xml:space="preserve">Bank Loan - Large Animal Trailer </t>
  </si>
  <si>
    <t>Marie now paid wage as 0.5 FTE * 90k per annum</t>
  </si>
  <si>
    <t>Principal &amp; Interest payments- Motor Vehicles</t>
  </si>
  <si>
    <t>Principal &amp; Interest payments- Equipment</t>
  </si>
  <si>
    <t>Principal &amp; Interest payments - Animal Trailer</t>
  </si>
  <si>
    <t>1st Jun 2015 - 30 Jun 2016</t>
  </si>
  <si>
    <t xml:space="preserve">FORECAST CASH FLOW BUDGET - example BUDGET (with Kristy leaving and senior owners going part-time) </t>
  </si>
  <si>
    <t>Drawings Partner 1 (over the years)</t>
  </si>
  <si>
    <t>Drawings Partner 2 (over the years)</t>
  </si>
  <si>
    <t xml:space="preserve">Superannuation guarantee@ 9.5% </t>
  </si>
  <si>
    <t>Superannuation guarantee@ 9.5%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</si>
</sst>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"/>
    <numFmt numFmtId="168" formatCode="0.0%"/>
    <numFmt numFmtId="169" formatCode="_-* #,##0_-;\-* #,##0_-;_-* &quot;-&quot;??_-;_-@_-"/>
    <numFmt numFmtId="170" formatCode="_-&quot;$&quot;* #,##0_-;\-&quot;$&quot;* #,##0_-;_-&quot;$&quot;* &quot;-&quot;??_-;_-@_-"/>
    <numFmt numFmtId="171" formatCode="0.000"/>
    <numFmt numFmtId="172" formatCode="#,##0_ ;[Red]\-#,##0\ "/>
    <numFmt numFmtId="173" formatCode="#,##0;[Black]\(#,##0\)"/>
    <numFmt numFmtId="174" formatCode="&quot;$&quot;#,##0_);\(&quot;$&quot;#,##0\)"/>
    <numFmt numFmtId="175" formatCode="&quot;$&quot;#,##0.00_);[Red]\(&quot;$&quot;#,##0.00\)"/>
    <numFmt numFmtId="176" formatCode="_(* #,##0_);_(* \(#,##0\);_(* &quot;-&quot;??_);_(@_)"/>
  </numFmts>
  <fonts count="47" x14ac:knownFonts="1">
    <font>
      <sz val="11"/>
      <color theme="1"/>
      <name val="Calibri"/>
      <family val="2"/>
      <scheme val="minor"/>
    </font>
    <font>
      <b/>
      <sz val="10"/>
      <color rgb="FFFFFFFF"/>
      <name val="Verdana"/>
      <family val="2"/>
    </font>
    <font>
      <b/>
      <sz val="10"/>
      <color rgb="FF0000FF"/>
      <name val="Verdana"/>
      <family val="2"/>
    </font>
    <font>
      <b/>
      <sz val="10"/>
      <color rgb="FF008080"/>
      <name val="Verdana"/>
      <family val="2"/>
    </font>
    <font>
      <b/>
      <sz val="12"/>
      <color indexed="62"/>
      <name val="Calibri"/>
      <family val="2"/>
    </font>
    <font>
      <sz val="11"/>
      <color indexed="62"/>
      <name val="Calibri"/>
      <family val="2"/>
    </font>
    <font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9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color rgb="FF0000FF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 Narrow"/>
      <family val="2"/>
    </font>
    <font>
      <b/>
      <i/>
      <sz val="9"/>
      <color rgb="FF000000"/>
      <name val="Arial Narrow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rgb="FF55AAFF"/>
        <bgColor indexed="64"/>
      </patternFill>
    </fill>
    <fill>
      <patternFill patternType="solid">
        <fgColor rgb="FFDDEE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/>
      <right/>
      <top style="medium">
        <color theme="3" tint="-0.249977111117893"/>
      </top>
      <bottom/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/>
      <top/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3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3" tint="-0.249977111117893"/>
      </left>
      <right/>
      <top style="thin">
        <color rgb="FF000000"/>
      </top>
      <bottom/>
      <diagonal/>
    </border>
    <border>
      <left style="medium">
        <color theme="3" tint="-0.249977111117893"/>
      </left>
      <right/>
      <top/>
      <bottom style="thin">
        <color indexed="64"/>
      </bottom>
      <diagonal/>
    </border>
    <border>
      <left style="thin">
        <color indexed="64"/>
      </left>
      <right style="medium">
        <color theme="3" tint="-0.249977111117893"/>
      </right>
      <top/>
      <bottom style="thin">
        <color indexed="64"/>
      </bottom>
      <diagonal/>
    </border>
    <border>
      <left style="medium">
        <color theme="3" tint="-0.249977111117893"/>
      </left>
      <right style="thin">
        <color indexed="64"/>
      </right>
      <top style="thin">
        <color indexed="64"/>
      </top>
      <bottom/>
      <diagonal/>
    </border>
    <border>
      <left style="medium">
        <color theme="3" tint="-0.249977111117893"/>
      </left>
      <right style="thin">
        <color indexed="64"/>
      </right>
      <top style="thin">
        <color indexed="64"/>
      </top>
      <bottom style="medium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theme="3" tint="-0.249977111117893"/>
      </left>
      <right/>
      <top/>
      <bottom style="thin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  <border>
      <left/>
      <right style="medium">
        <color theme="3" tint="-0.249977111117893"/>
      </right>
      <top/>
      <bottom style="thin">
        <color theme="3" tint="-0.24997711111789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indexed="64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3" tint="-0.249977111117893"/>
      </top>
      <bottom/>
      <diagonal/>
    </border>
    <border>
      <left style="thin">
        <color theme="3" tint="-0.249977111117893"/>
      </left>
      <right style="thin">
        <color indexed="64"/>
      </right>
      <top style="thin">
        <color theme="3" tint="-0.249977111117893"/>
      </top>
      <bottom style="thin">
        <color theme="3" tint="-0.249977111117893"/>
      </bottom>
      <diagonal/>
    </border>
  </borders>
  <cellStyleXfs count="6">
    <xf numFmtId="0" fontId="0" fillId="0" borderId="0"/>
    <xf numFmtId="9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3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quotePrefix="1" applyFont="1"/>
    <xf numFmtId="0" fontId="8" fillId="0" borderId="0" xfId="0" applyFont="1"/>
    <xf numFmtId="0" fontId="0" fillId="0" borderId="1" xfId="0" applyBorder="1"/>
    <xf numFmtId="0" fontId="0" fillId="0" borderId="0" xfId="0" applyFill="1"/>
    <xf numFmtId="0" fontId="0" fillId="0" borderId="0" xfId="0" applyBorder="1"/>
    <xf numFmtId="0" fontId="14" fillId="0" borderId="0" xfId="0" applyFont="1"/>
    <xf numFmtId="2" fontId="0" fillId="0" borderId="0" xfId="0" applyNumberFormat="1"/>
    <xf numFmtId="0" fontId="0" fillId="0" borderId="6" xfId="0" applyBorder="1"/>
    <xf numFmtId="0" fontId="15" fillId="0" borderId="0" xfId="0" applyFont="1"/>
    <xf numFmtId="14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left"/>
    </xf>
    <xf numFmtId="9" fontId="0" fillId="0" borderId="0" xfId="1" applyNumberFormat="1" applyFont="1"/>
    <xf numFmtId="9" fontId="0" fillId="0" borderId="0" xfId="0" applyNumberFormat="1"/>
    <xf numFmtId="0" fontId="17" fillId="0" borderId="0" xfId="0" applyFont="1"/>
    <xf numFmtId="3" fontId="17" fillId="0" borderId="0" xfId="0" applyNumberFormat="1" applyFont="1"/>
    <xf numFmtId="10" fontId="18" fillId="0" borderId="0" xfId="0" applyNumberFormat="1" applyFont="1"/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6" fillId="0" borderId="0" xfId="0" applyFont="1"/>
    <xf numFmtId="0" fontId="1" fillId="11" borderId="0" xfId="0" applyFont="1" applyFill="1" applyAlignment="1"/>
    <xf numFmtId="0" fontId="1" fillId="11" borderId="0" xfId="0" applyFont="1" applyFill="1" applyAlignment="1">
      <alignment horizontal="center" wrapText="1"/>
    </xf>
    <xf numFmtId="0" fontId="1" fillId="11" borderId="0" xfId="0" applyFont="1" applyFill="1" applyAlignment="1">
      <alignment wrapText="1"/>
    </xf>
    <xf numFmtId="0" fontId="0" fillId="11" borderId="0" xfId="0" applyFill="1"/>
    <xf numFmtId="1" fontId="0" fillId="0" borderId="0" xfId="0" applyNumberFormat="1" applyBorder="1"/>
    <xf numFmtId="0" fontId="15" fillId="0" borderId="0" xfId="0" applyFont="1" applyBorder="1"/>
    <xf numFmtId="0" fontId="6" fillId="0" borderId="9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3" fontId="0" fillId="0" borderId="0" xfId="0" applyNumberFormat="1"/>
    <xf numFmtId="0" fontId="0" fillId="13" borderId="0" xfId="0" applyFill="1"/>
    <xf numFmtId="0" fontId="0" fillId="13" borderId="0" xfId="0" applyFill="1" applyBorder="1"/>
    <xf numFmtId="9" fontId="20" fillId="0" borderId="0" xfId="1" applyFont="1" applyAlignment="1">
      <alignment horizontal="center"/>
    </xf>
    <xf numFmtId="1" fontId="6" fillId="0" borderId="0" xfId="0" applyNumberFormat="1" applyFont="1" applyAlignment="1"/>
    <xf numFmtId="0" fontId="0" fillId="13" borderId="5" xfId="0" applyFill="1" applyBorder="1"/>
    <xf numFmtId="1" fontId="20" fillId="13" borderId="1" xfId="0" applyNumberFormat="1" applyFont="1" applyFill="1" applyBorder="1" applyAlignment="1">
      <alignment horizontal="center"/>
    </xf>
    <xf numFmtId="0" fontId="0" fillId="13" borderId="2" xfId="0" applyFill="1" applyBorder="1"/>
    <xf numFmtId="1" fontId="10" fillId="0" borderId="0" xfId="0" applyNumberFormat="1" applyFont="1" applyBorder="1" applyAlignment="1"/>
    <xf numFmtId="0" fontId="0" fillId="0" borderId="0" xfId="0" applyFill="1" applyBorder="1"/>
    <xf numFmtId="1" fontId="20" fillId="0" borderId="1" xfId="0" applyNumberFormat="1" applyFont="1" applyFill="1" applyBorder="1" applyAlignment="1">
      <alignment horizontal="center"/>
    </xf>
    <xf numFmtId="0" fontId="0" fillId="0" borderId="5" xfId="0" applyFill="1" applyBorder="1"/>
    <xf numFmtId="0" fontId="0" fillId="0" borderId="2" xfId="0" applyFill="1" applyBorder="1"/>
    <xf numFmtId="166" fontId="0" fillId="0" borderId="0" xfId="3" applyFont="1"/>
    <xf numFmtId="166" fontId="0" fillId="0" borderId="0" xfId="3" applyFont="1" applyBorder="1"/>
    <xf numFmtId="166" fontId="0" fillId="0" borderId="1" xfId="3" applyFont="1" applyBorder="1"/>
    <xf numFmtId="0" fontId="0" fillId="13" borderId="11" xfId="0" applyFill="1" applyBorder="1"/>
    <xf numFmtId="0" fontId="0" fillId="13" borderId="13" xfId="0" applyFill="1" applyBorder="1"/>
    <xf numFmtId="0" fontId="0" fillId="0" borderId="17" xfId="0" applyFill="1" applyBorder="1"/>
    <xf numFmtId="0" fontId="0" fillId="13" borderId="17" xfId="0" applyFill="1" applyBorder="1"/>
    <xf numFmtId="166" fontId="14" fillId="0" borderId="16" xfId="3" applyFont="1" applyBorder="1"/>
    <xf numFmtId="165" fontId="20" fillId="13" borderId="1" xfId="2" applyFont="1" applyFill="1" applyBorder="1" applyAlignment="1">
      <alignment horizontal="center"/>
    </xf>
    <xf numFmtId="165" fontId="20" fillId="0" borderId="1" xfId="2" applyFont="1" applyFill="1" applyBorder="1" applyAlignment="1">
      <alignment horizontal="center"/>
    </xf>
    <xf numFmtId="169" fontId="0" fillId="0" borderId="12" xfId="3" applyNumberFormat="1" applyFont="1" applyBorder="1"/>
    <xf numFmtId="169" fontId="0" fillId="0" borderId="1" xfId="3" applyNumberFormat="1" applyFont="1" applyBorder="1" applyAlignment="1"/>
    <xf numFmtId="169" fontId="0" fillId="0" borderId="0" xfId="3" applyNumberFormat="1" applyFont="1" applyAlignment="1"/>
    <xf numFmtId="166" fontId="0" fillId="0" borderId="0" xfId="3" applyFont="1" applyFill="1" applyBorder="1"/>
    <xf numFmtId="0" fontId="11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4" fillId="0" borderId="22" xfId="0" applyFont="1" applyBorder="1"/>
    <xf numFmtId="0" fontId="21" fillId="0" borderId="0" xfId="0" applyFont="1" applyBorder="1"/>
    <xf numFmtId="0" fontId="14" fillId="0" borderId="23" xfId="0" applyFont="1" applyBorder="1"/>
    <xf numFmtId="167" fontId="0" fillId="0" borderId="0" xfId="0" applyNumberFormat="1" applyBorder="1"/>
    <xf numFmtId="167" fontId="10" fillId="0" borderId="0" xfId="0" applyNumberFormat="1" applyFont="1" applyFill="1" applyBorder="1" applyAlignment="1"/>
    <xf numFmtId="0" fontId="13" fillId="7" borderId="32" xfId="0" applyFont="1" applyFill="1" applyBorder="1" applyAlignment="1"/>
    <xf numFmtId="0" fontId="19" fillId="7" borderId="35" xfId="0" applyFont="1" applyFill="1" applyBorder="1" applyAlignment="1">
      <alignment horizontal="left"/>
    </xf>
    <xf numFmtId="0" fontId="13" fillId="7" borderId="33" xfId="0" applyFont="1" applyFill="1" applyBorder="1" applyAlignment="1"/>
    <xf numFmtId="0" fontId="21" fillId="0" borderId="35" xfId="0" applyFont="1" applyBorder="1" applyAlignment="1">
      <alignment horizontal="right"/>
    </xf>
    <xf numFmtId="0" fontId="10" fillId="0" borderId="35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23" fillId="0" borderId="35" xfId="0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0" fontId="6" fillId="0" borderId="32" xfId="0" applyFont="1" applyBorder="1" applyAlignment="1"/>
    <xf numFmtId="0" fontId="6" fillId="0" borderId="33" xfId="0" applyFont="1" applyBorder="1" applyAlignment="1"/>
    <xf numFmtId="0" fontId="11" fillId="0" borderId="35" xfId="0" applyFont="1" applyBorder="1" applyAlignment="1"/>
    <xf numFmtId="0" fontId="10" fillId="0" borderId="35" xfId="0" applyFont="1" applyBorder="1" applyAlignment="1"/>
    <xf numFmtId="0" fontId="21" fillId="0" borderId="35" xfId="0" applyFont="1" applyBorder="1" applyAlignment="1"/>
    <xf numFmtId="0" fontId="23" fillId="3" borderId="35" xfId="0" applyFont="1" applyFill="1" applyBorder="1" applyAlignment="1">
      <alignment horizontal="right"/>
    </xf>
    <xf numFmtId="0" fontId="23" fillId="0" borderId="35" xfId="0" applyFont="1" applyBorder="1" applyAlignment="1"/>
    <xf numFmtId="0" fontId="13" fillId="0" borderId="35" xfId="0" applyFont="1" applyBorder="1" applyAlignment="1"/>
    <xf numFmtId="0" fontId="11" fillId="0" borderId="35" xfId="0" applyFont="1" applyBorder="1" applyAlignment="1">
      <alignment horizontal="left"/>
    </xf>
    <xf numFmtId="0" fontId="12" fillId="3" borderId="36" xfId="0" applyFont="1" applyFill="1" applyBorder="1" applyAlignment="1">
      <alignment horizontal="right"/>
    </xf>
    <xf numFmtId="0" fontId="24" fillId="0" borderId="24" xfId="0" applyFont="1" applyBorder="1" applyAlignment="1">
      <alignment wrapText="1"/>
    </xf>
    <xf numFmtId="3" fontId="24" fillId="0" borderId="1" xfId="3" applyNumberFormat="1" applyFont="1" applyBorder="1" applyAlignment="1">
      <alignment horizontal="right"/>
    </xf>
    <xf numFmtId="3" fontId="24" fillId="0" borderId="25" xfId="3" applyNumberFormat="1" applyFont="1" applyBorder="1" applyAlignment="1">
      <alignment horizontal="right"/>
    </xf>
    <xf numFmtId="3" fontId="24" fillId="0" borderId="1" xfId="3" applyNumberFormat="1" applyFont="1" applyBorder="1" applyAlignment="1"/>
    <xf numFmtId="3" fontId="24" fillId="0" borderId="25" xfId="3" applyNumberFormat="1" applyFont="1" applyBorder="1" applyAlignment="1"/>
    <xf numFmtId="0" fontId="24" fillId="0" borderId="24" xfId="0" applyFont="1" applyBorder="1"/>
    <xf numFmtId="3" fontId="24" fillId="0" borderId="25" xfId="3" applyNumberFormat="1" applyFont="1" applyBorder="1" applyAlignment="1">
      <alignment horizontal="right" wrapText="1"/>
    </xf>
    <xf numFmtId="3" fontId="24" fillId="0" borderId="1" xfId="3" applyNumberFormat="1" applyFont="1" applyBorder="1" applyAlignment="1">
      <alignment horizontal="right" wrapText="1"/>
    </xf>
    <xf numFmtId="3" fontId="25" fillId="0" borderId="25" xfId="3" applyNumberFormat="1" applyFont="1" applyBorder="1"/>
    <xf numFmtId="3" fontId="26" fillId="0" borderId="25" xfId="3" applyNumberFormat="1" applyFont="1" applyBorder="1" applyAlignment="1">
      <alignment horizontal="right" wrapText="1"/>
    </xf>
    <xf numFmtId="3" fontId="26" fillId="0" borderId="25" xfId="3" applyNumberFormat="1" applyFont="1" applyFill="1" applyBorder="1" applyAlignment="1">
      <alignment wrapText="1"/>
    </xf>
    <xf numFmtId="0" fontId="27" fillId="4" borderId="24" xfId="0" applyFont="1" applyFill="1" applyBorder="1" applyAlignment="1">
      <alignment horizontal="right" wrapText="1"/>
    </xf>
    <xf numFmtId="0" fontId="24" fillId="0" borderId="24" xfId="0" applyFont="1" applyFill="1" applyBorder="1"/>
    <xf numFmtId="3" fontId="24" fillId="0" borderId="1" xfId="3" applyNumberFormat="1" applyFont="1" applyFill="1" applyBorder="1" applyAlignment="1">
      <alignment horizontal="right" wrapText="1"/>
    </xf>
    <xf numFmtId="3" fontId="24" fillId="0" borderId="25" xfId="3" applyNumberFormat="1" applyFont="1" applyFill="1" applyBorder="1" applyAlignment="1">
      <alignment horizontal="right" wrapText="1"/>
    </xf>
    <xf numFmtId="3" fontId="24" fillId="0" borderId="1" xfId="3" applyNumberFormat="1" applyFont="1" applyBorder="1"/>
    <xf numFmtId="3" fontId="24" fillId="0" borderId="25" xfId="3" applyNumberFormat="1" applyFont="1" applyBorder="1"/>
    <xf numFmtId="0" fontId="28" fillId="0" borderId="24" xfId="0" applyFont="1" applyFill="1" applyBorder="1" applyAlignment="1">
      <alignment horizontal="right" wrapText="1"/>
    </xf>
    <xf numFmtId="3" fontId="28" fillId="0" borderId="1" xfId="3" applyNumberFormat="1" applyFont="1" applyFill="1" applyBorder="1" applyAlignment="1">
      <alignment horizontal="right" wrapText="1"/>
    </xf>
    <xf numFmtId="0" fontId="25" fillId="0" borderId="26" xfId="0" applyFont="1" applyBorder="1" applyAlignment="1">
      <alignment wrapText="1"/>
    </xf>
    <xf numFmtId="3" fontId="25" fillId="0" borderId="1" xfId="3" applyNumberFormat="1" applyFont="1" applyBorder="1"/>
    <xf numFmtId="0" fontId="29" fillId="7" borderId="27" xfId="0" applyFont="1" applyFill="1" applyBorder="1" applyAlignment="1">
      <alignment horizontal="left"/>
    </xf>
    <xf numFmtId="3" fontId="29" fillId="7" borderId="8" xfId="3" applyNumberFormat="1" applyFont="1" applyFill="1" applyBorder="1" applyAlignment="1">
      <alignment horizontal="left"/>
    </xf>
    <xf numFmtId="3" fontId="29" fillId="7" borderId="28" xfId="3" applyNumberFormat="1" applyFont="1" applyFill="1" applyBorder="1" applyAlignment="1">
      <alignment horizontal="left"/>
    </xf>
    <xf numFmtId="3" fontId="25" fillId="0" borderId="1" xfId="3" applyNumberFormat="1" applyFont="1" applyBorder="1" applyAlignment="1">
      <alignment horizontal="right"/>
    </xf>
    <xf numFmtId="3" fontId="25" fillId="0" borderId="25" xfId="3" applyNumberFormat="1" applyFont="1" applyBorder="1" applyAlignment="1">
      <alignment horizontal="right"/>
    </xf>
    <xf numFmtId="3" fontId="25" fillId="0" borderId="1" xfId="3" applyNumberFormat="1" applyFont="1" applyBorder="1" applyAlignment="1">
      <alignment horizontal="right" wrapText="1"/>
    </xf>
    <xf numFmtId="3" fontId="25" fillId="0" borderId="25" xfId="3" applyNumberFormat="1" applyFont="1" applyBorder="1" applyAlignment="1">
      <alignment horizontal="right" wrapText="1"/>
    </xf>
    <xf numFmtId="3" fontId="25" fillId="4" borderId="1" xfId="3" applyNumberFormat="1" applyFont="1" applyFill="1" applyBorder="1" applyAlignment="1">
      <alignment horizontal="right" wrapText="1"/>
    </xf>
    <xf numFmtId="0" fontId="28" fillId="3" borderId="24" xfId="0" applyFont="1" applyFill="1" applyBorder="1" applyAlignment="1">
      <alignment horizontal="right" wrapText="1"/>
    </xf>
    <xf numFmtId="3" fontId="28" fillId="3" borderId="1" xfId="3" applyNumberFormat="1" applyFont="1" applyFill="1" applyBorder="1" applyAlignment="1">
      <alignment horizontal="right" wrapText="1"/>
    </xf>
    <xf numFmtId="3" fontId="28" fillId="3" borderId="25" xfId="3" applyNumberFormat="1" applyFont="1" applyFill="1" applyBorder="1" applyAlignment="1">
      <alignment horizontal="right" wrapText="1"/>
    </xf>
    <xf numFmtId="0" fontId="29" fillId="7" borderId="24" xfId="0" applyFont="1" applyFill="1" applyBorder="1" applyAlignment="1">
      <alignment horizontal="left"/>
    </xf>
    <xf numFmtId="3" fontId="29" fillId="7" borderId="1" xfId="3" applyNumberFormat="1" applyFont="1" applyFill="1" applyBorder="1" applyAlignment="1">
      <alignment horizontal="left"/>
    </xf>
    <xf numFmtId="3" fontId="29" fillId="7" borderId="25" xfId="3" applyNumberFormat="1" applyFont="1" applyFill="1" applyBorder="1" applyAlignment="1">
      <alignment horizontal="left"/>
    </xf>
    <xf numFmtId="0" fontId="28" fillId="6" borderId="24" xfId="0" applyFont="1" applyFill="1" applyBorder="1" applyAlignment="1">
      <alignment horizontal="right" wrapText="1" indent="1"/>
    </xf>
    <xf numFmtId="3" fontId="25" fillId="6" borderId="1" xfId="3" applyNumberFormat="1" applyFont="1" applyFill="1" applyBorder="1" applyAlignment="1">
      <alignment horizontal="right" wrapText="1"/>
    </xf>
    <xf numFmtId="0" fontId="25" fillId="0" borderId="22" xfId="0" applyFont="1" applyBorder="1"/>
    <xf numFmtId="0" fontId="28" fillId="5" borderId="29" xfId="0" applyFont="1" applyFill="1" applyBorder="1" applyAlignment="1">
      <alignment horizontal="right" wrapText="1"/>
    </xf>
    <xf numFmtId="3" fontId="25" fillId="5" borderId="3" xfId="3" applyNumberFormat="1" applyFont="1" applyFill="1" applyBorder="1" applyAlignment="1">
      <alignment horizontal="right" wrapText="1"/>
    </xf>
    <xf numFmtId="0" fontId="28" fillId="5" borderId="30" xfId="0" applyFont="1" applyFill="1" applyBorder="1" applyAlignment="1">
      <alignment horizontal="right" wrapText="1"/>
    </xf>
    <xf numFmtId="3" fontId="25" fillId="5" borderId="31" xfId="3" applyNumberFormat="1" applyFont="1" applyFill="1" applyBorder="1" applyAlignment="1">
      <alignment horizontal="right" wrapText="1"/>
    </xf>
    <xf numFmtId="3" fontId="26" fillId="4" borderId="1" xfId="3" applyNumberFormat="1" applyFont="1" applyFill="1" applyBorder="1" applyAlignment="1">
      <alignment horizontal="right" wrapText="1"/>
    </xf>
    <xf numFmtId="3" fontId="24" fillId="0" borderId="8" xfId="3" applyNumberFormat="1" applyFont="1" applyBorder="1" applyAlignment="1">
      <alignment horizontal="right" wrapText="1"/>
    </xf>
    <xf numFmtId="3" fontId="25" fillId="0" borderId="1" xfId="3" applyNumberFormat="1" applyFont="1" applyFill="1" applyBorder="1"/>
    <xf numFmtId="3" fontId="6" fillId="0" borderId="32" xfId="3" applyNumberFormat="1" applyFont="1" applyBorder="1" applyAlignment="1"/>
    <xf numFmtId="3" fontId="11" fillId="0" borderId="33" xfId="3" applyNumberFormat="1" applyFont="1" applyBorder="1" applyAlignment="1"/>
    <xf numFmtId="3" fontId="11" fillId="0" borderId="33" xfId="3" applyNumberFormat="1" applyFont="1" applyFill="1" applyBorder="1" applyAlignment="1"/>
    <xf numFmtId="3" fontId="23" fillId="0" borderId="33" xfId="3" applyNumberFormat="1" applyFont="1" applyFill="1" applyBorder="1" applyAlignment="1"/>
    <xf numFmtId="3" fontId="11" fillId="0" borderId="32" xfId="3" applyNumberFormat="1" applyFont="1" applyBorder="1" applyAlignment="1"/>
    <xf numFmtId="3" fontId="11" fillId="0" borderId="32" xfId="3" applyNumberFormat="1" applyFont="1" applyFill="1" applyBorder="1" applyAlignment="1"/>
    <xf numFmtId="3" fontId="23" fillId="0" borderId="32" xfId="3" applyNumberFormat="1" applyFont="1" applyFill="1" applyBorder="1" applyAlignment="1"/>
    <xf numFmtId="3" fontId="23" fillId="0" borderId="32" xfId="3" applyNumberFormat="1" applyFont="1" applyBorder="1" applyAlignment="1"/>
    <xf numFmtId="3" fontId="23" fillId="3" borderId="32" xfId="3" applyNumberFormat="1" applyFont="1" applyFill="1" applyBorder="1" applyAlignment="1"/>
    <xf numFmtId="3" fontId="23" fillId="7" borderId="32" xfId="3" applyNumberFormat="1" applyFont="1" applyFill="1" applyBorder="1" applyAlignment="1"/>
    <xf numFmtId="3" fontId="23" fillId="7" borderId="33" xfId="3" applyNumberFormat="1" applyFont="1" applyFill="1" applyBorder="1" applyAlignment="1"/>
    <xf numFmtId="3" fontId="6" fillId="0" borderId="33" xfId="3" applyNumberFormat="1" applyFont="1" applyBorder="1" applyAlignment="1"/>
    <xf numFmtId="3" fontId="23" fillId="12" borderId="34" xfId="3" applyNumberFormat="1" applyFont="1" applyFill="1" applyBorder="1" applyAlignment="1"/>
    <xf numFmtId="0" fontId="23" fillId="0" borderId="35" xfId="0" applyFont="1" applyFill="1" applyBorder="1" applyAlignment="1">
      <alignment horizontal="right"/>
    </xf>
    <xf numFmtId="166" fontId="15" fillId="0" borderId="0" xfId="0" applyNumberFormat="1" applyFont="1" applyBorder="1"/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3" fontId="26" fillId="4" borderId="25" xfId="3" applyNumberFormat="1" applyFont="1" applyFill="1" applyBorder="1" applyAlignment="1">
      <alignment horizontal="right" wrapText="1"/>
    </xf>
    <xf numFmtId="3" fontId="26" fillId="0" borderId="25" xfId="3" applyNumberFormat="1" applyFont="1" applyFill="1" applyBorder="1" applyAlignment="1">
      <alignment horizontal="right" wrapText="1"/>
    </xf>
    <xf numFmtId="3" fontId="28" fillId="0" borderId="25" xfId="3" applyNumberFormat="1" applyFont="1" applyFill="1" applyBorder="1" applyAlignment="1">
      <alignment horizontal="right" wrapText="1"/>
    </xf>
    <xf numFmtId="0" fontId="24" fillId="0" borderId="24" xfId="0" applyFont="1" applyBorder="1" applyAlignment="1">
      <alignment horizontal="left"/>
    </xf>
    <xf numFmtId="3" fontId="27" fillId="4" borderId="1" xfId="3" applyNumberFormat="1" applyFont="1" applyFill="1" applyBorder="1" applyAlignment="1">
      <alignment horizontal="right" wrapText="1"/>
    </xf>
    <xf numFmtId="3" fontId="27" fillId="4" borderId="25" xfId="3" applyNumberFormat="1" applyFont="1" applyFill="1" applyBorder="1" applyAlignment="1">
      <alignment horizontal="right" wrapText="1"/>
    </xf>
    <xf numFmtId="0" fontId="25" fillId="0" borderId="24" xfId="0" applyFont="1" applyBorder="1" applyAlignment="1">
      <alignment wrapText="1"/>
    </xf>
    <xf numFmtId="0" fontId="24" fillId="0" borderId="24" xfId="0" applyFont="1" applyBorder="1" applyAlignment="1">
      <alignment horizontal="left" wrapText="1"/>
    </xf>
    <xf numFmtId="0" fontId="24" fillId="0" borderId="24" xfId="0" applyFont="1" applyBorder="1" applyAlignment="1">
      <alignment horizontal="right" wrapText="1"/>
    </xf>
    <xf numFmtId="3" fontId="26" fillId="0" borderId="25" xfId="3" applyNumberFormat="1" applyFont="1" applyBorder="1"/>
    <xf numFmtId="3" fontId="24" fillId="0" borderId="1" xfId="3" applyNumberFormat="1" applyFont="1" applyFill="1" applyBorder="1" applyAlignment="1">
      <alignment wrapText="1"/>
    </xf>
    <xf numFmtId="169" fontId="0" fillId="0" borderId="0" xfId="3" applyNumberFormat="1" applyFont="1"/>
    <xf numFmtId="169" fontId="0" fillId="0" borderId="6" xfId="3" applyNumberFormat="1" applyFont="1" applyBorder="1"/>
    <xf numFmtId="169" fontId="0" fillId="0" borderId="0" xfId="3" applyNumberFormat="1" applyFont="1" applyBorder="1"/>
    <xf numFmtId="166" fontId="14" fillId="0" borderId="0" xfId="3" applyFont="1" applyFill="1" applyBorder="1"/>
    <xf numFmtId="169" fontId="14" fillId="5" borderId="4" xfId="3" applyNumberFormat="1" applyFont="1" applyFill="1" applyBorder="1"/>
    <xf numFmtId="169" fontId="22" fillId="0" borderId="0" xfId="3" applyNumberFormat="1" applyFont="1"/>
    <xf numFmtId="0" fontId="0" fillId="0" borderId="0" xfId="0" applyAlignment="1">
      <alignment horizontal="right" indent="1"/>
    </xf>
    <xf numFmtId="0" fontId="14" fillId="0" borderId="0" xfId="0" applyFont="1" applyAlignment="1">
      <alignment horizontal="right" indent="1"/>
    </xf>
    <xf numFmtId="3" fontId="21" fillId="5" borderId="33" xfId="3" applyNumberFormat="1" applyFont="1" applyFill="1" applyBorder="1" applyAlignment="1"/>
    <xf numFmtId="3" fontId="23" fillId="0" borderId="33" xfId="3" applyNumberFormat="1" applyFont="1" applyBorder="1" applyAlignment="1"/>
    <xf numFmtId="3" fontId="23" fillId="3" borderId="33" xfId="3" applyNumberFormat="1" applyFont="1" applyFill="1" applyBorder="1" applyAlignment="1"/>
    <xf numFmtId="3" fontId="21" fillId="0" borderId="32" xfId="3" applyNumberFormat="1" applyFont="1" applyFill="1" applyBorder="1" applyAlignment="1"/>
    <xf numFmtId="0" fontId="19" fillId="0" borderId="35" xfId="0" applyFont="1" applyFill="1" applyBorder="1" applyAlignment="1">
      <alignment horizontal="left"/>
    </xf>
    <xf numFmtId="0" fontId="13" fillId="0" borderId="35" xfId="0" applyFont="1" applyBorder="1" applyAlignment="1">
      <alignment horizontal="right"/>
    </xf>
    <xf numFmtId="3" fontId="23" fillId="12" borderId="37" xfId="3" applyNumberFormat="1" applyFont="1" applyFill="1" applyBorder="1" applyAlignment="1"/>
    <xf numFmtId="0" fontId="24" fillId="0" borderId="24" xfId="0" applyFont="1" applyBorder="1" applyAlignment="1"/>
    <xf numFmtId="0" fontId="26" fillId="0" borderId="24" xfId="0" applyFont="1" applyBorder="1" applyAlignment="1">
      <alignment horizontal="left"/>
    </xf>
    <xf numFmtId="0" fontId="26" fillId="0" borderId="24" xfId="0" applyFont="1" applyBorder="1" applyAlignment="1">
      <alignment horizontal="left" wrapText="1"/>
    </xf>
    <xf numFmtId="0" fontId="26" fillId="0" borderId="24" xfId="0" applyFont="1" applyBorder="1"/>
    <xf numFmtId="0" fontId="26" fillId="0" borderId="24" xfId="0" applyFont="1" applyBorder="1" applyAlignment="1">
      <alignment horizontal="right" wrapText="1"/>
    </xf>
    <xf numFmtId="0" fontId="26" fillId="0" borderId="24" xfId="0" applyFont="1" applyBorder="1" applyAlignment="1">
      <alignment horizontal="right"/>
    </xf>
    <xf numFmtId="0" fontId="24" fillId="0" borderId="24" xfId="0" applyFont="1" applyFill="1" applyBorder="1" applyAlignment="1">
      <alignment horizontal="left" wrapText="1"/>
    </xf>
    <xf numFmtId="169" fontId="0" fillId="5" borderId="4" xfId="3" applyNumberFormat="1" applyFont="1" applyFill="1" applyBorder="1"/>
    <xf numFmtId="169" fontId="0" fillId="0" borderId="2" xfId="3" applyNumberFormat="1" applyFont="1" applyBorder="1"/>
    <xf numFmtId="169" fontId="0" fillId="13" borderId="1" xfId="3" applyNumberFormat="1" applyFont="1" applyFill="1" applyBorder="1"/>
    <xf numFmtId="169" fontId="0" fillId="0" borderId="1" xfId="3" applyNumberFormat="1" applyFont="1" applyBorder="1"/>
    <xf numFmtId="169" fontId="0" fillId="0" borderId="4" xfId="3" applyNumberFormat="1" applyFont="1" applyBorder="1"/>
    <xf numFmtId="169" fontId="0" fillId="13" borderId="2" xfId="3" applyNumberFormat="1" applyFont="1" applyFill="1" applyBorder="1"/>
    <xf numFmtId="169" fontId="0" fillId="13" borderId="14" xfId="3" applyNumberFormat="1" applyFont="1" applyFill="1" applyBorder="1"/>
    <xf numFmtId="169" fontId="0" fillId="0" borderId="15" xfId="3" applyNumberFormat="1" applyFont="1" applyFill="1" applyBorder="1"/>
    <xf numFmtId="169" fontId="0" fillId="13" borderId="15" xfId="3" applyNumberFormat="1" applyFont="1" applyFill="1" applyBorder="1"/>
    <xf numFmtId="169" fontId="0" fillId="0" borderId="0" xfId="3" applyNumberFormat="1" applyFont="1" applyFill="1" applyBorder="1"/>
    <xf numFmtId="169" fontId="22" fillId="0" borderId="15" xfId="3" applyNumberFormat="1" applyFont="1" applyFill="1" applyBorder="1"/>
    <xf numFmtId="169" fontId="0" fillId="13" borderId="7" xfId="3" applyNumberFormat="1" applyFont="1" applyFill="1" applyBorder="1"/>
    <xf numFmtId="169" fontId="0" fillId="0" borderId="7" xfId="3" applyNumberFormat="1" applyFont="1" applyFill="1" applyBorder="1"/>
    <xf numFmtId="169" fontId="0" fillId="5" borderId="5" xfId="3" applyNumberFormat="1" applyFont="1" applyFill="1" applyBorder="1"/>
    <xf numFmtId="169" fontId="6" fillId="13" borderId="0" xfId="3" applyNumberFormat="1" applyFont="1" applyFill="1" applyAlignment="1"/>
    <xf numFmtId="169" fontId="14" fillId="13" borderId="2" xfId="3" applyNumberFormat="1" applyFont="1" applyFill="1" applyBorder="1"/>
    <xf numFmtId="169" fontId="14" fillId="0" borderId="1" xfId="3" applyNumberFormat="1" applyFont="1" applyBorder="1"/>
    <xf numFmtId="169" fontId="0" fillId="0" borderId="0" xfId="3" applyNumberFormat="1" applyFont="1" applyFill="1"/>
    <xf numFmtId="169" fontId="0" fillId="0" borderId="0" xfId="2" applyNumberFormat="1" applyFont="1" applyFill="1" applyBorder="1"/>
    <xf numFmtId="3" fontId="0" fillId="0" borderId="0" xfId="0" applyNumberFormat="1" applyBorder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3" fontId="6" fillId="0" borderId="0" xfId="3" applyNumberFormat="1" applyFont="1" applyFill="1" applyBorder="1" applyAlignment="1"/>
    <xf numFmtId="0" fontId="10" fillId="0" borderId="0" xfId="0" applyFont="1" applyFill="1" applyBorder="1" applyAlignment="1"/>
    <xf numFmtId="1" fontId="11" fillId="0" borderId="0" xfId="0" applyNumberFormat="1" applyFont="1" applyFill="1" applyBorder="1" applyAlignment="1">
      <alignment wrapText="1"/>
    </xf>
    <xf numFmtId="169" fontId="14" fillId="8" borderId="0" xfId="3" applyNumberFormat="1" applyFont="1" applyFill="1" applyBorder="1"/>
    <xf numFmtId="169" fontId="14" fillId="14" borderId="0" xfId="3" applyNumberFormat="1" applyFont="1" applyFill="1" applyBorder="1"/>
    <xf numFmtId="169" fontId="14" fillId="10" borderId="0" xfId="3" applyNumberFormat="1" applyFont="1" applyFill="1" applyBorder="1"/>
    <xf numFmtId="169" fontId="6" fillId="0" borderId="0" xfId="3" applyNumberFormat="1" applyFont="1" applyFill="1" applyAlignment="1"/>
    <xf numFmtId="169" fontId="14" fillId="0" borderId="0" xfId="3" applyNumberFormat="1" applyFont="1"/>
    <xf numFmtId="0" fontId="0" fillId="8" borderId="1" xfId="0" applyFill="1" applyBorder="1"/>
    <xf numFmtId="169" fontId="0" fillId="8" borderId="1" xfId="3" applyNumberFormat="1" applyFont="1" applyFill="1" applyBorder="1"/>
    <xf numFmtId="0" fontId="0" fillId="14" borderId="1" xfId="0" applyFill="1" applyBorder="1"/>
    <xf numFmtId="169" fontId="0" fillId="14" borderId="1" xfId="3" applyNumberFormat="1" applyFont="1" applyFill="1" applyBorder="1"/>
    <xf numFmtId="0" fontId="0" fillId="10" borderId="1" xfId="0" applyFill="1" applyBorder="1"/>
    <xf numFmtId="169" fontId="0" fillId="10" borderId="1" xfId="3" applyNumberFormat="1" applyFont="1" applyFill="1" applyBorder="1"/>
    <xf numFmtId="169" fontId="14" fillId="9" borderId="1" xfId="3" applyNumberFormat="1" applyFont="1" applyFill="1" applyBorder="1"/>
    <xf numFmtId="0" fontId="0" fillId="10" borderId="2" xfId="0" applyFill="1" applyBorder="1" applyAlignment="1">
      <alignment horizontal="left"/>
    </xf>
    <xf numFmtId="0" fontId="0" fillId="10" borderId="5" xfId="0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4" fillId="0" borderId="0" xfId="0" applyFont="1" applyBorder="1"/>
    <xf numFmtId="0" fontId="2" fillId="0" borderId="0" xfId="0" applyFont="1" applyBorder="1" applyAlignment="1"/>
    <xf numFmtId="0" fontId="14" fillId="0" borderId="0" xfId="0" applyFont="1" applyBorder="1" applyAlignment="1"/>
    <xf numFmtId="3" fontId="14" fillId="0" borderId="4" xfId="0" applyNumberFormat="1" applyFont="1" applyBorder="1"/>
    <xf numFmtId="0" fontId="14" fillId="0" borderId="0" xfId="0" applyFont="1" applyFill="1" applyBorder="1"/>
    <xf numFmtId="3" fontId="14" fillId="0" borderId="42" xfId="0" applyNumberFormat="1" applyFont="1" applyBorder="1"/>
    <xf numFmtId="3" fontId="21" fillId="0" borderId="33" xfId="3" applyNumberFormat="1" applyFont="1" applyFill="1" applyBorder="1" applyAlignment="1"/>
    <xf numFmtId="3" fontId="5" fillId="0" borderId="0" xfId="0" applyNumberFormat="1" applyFont="1" applyAlignment="1">
      <alignment horizontal="left"/>
    </xf>
    <xf numFmtId="9" fontId="0" fillId="0" borderId="0" xfId="1" applyFont="1"/>
    <xf numFmtId="168" fontId="0" fillId="0" borderId="0" xfId="1" applyNumberFormat="1" applyFont="1"/>
    <xf numFmtId="4" fontId="0" fillId="0" borderId="0" xfId="0" applyNumberFormat="1"/>
    <xf numFmtId="166" fontId="0" fillId="0" borderId="0" xfId="0" applyNumberFormat="1" applyFill="1" applyBorder="1"/>
    <xf numFmtId="166" fontId="15" fillId="0" borderId="0" xfId="0" applyNumberFormat="1" applyFont="1"/>
    <xf numFmtId="166" fontId="0" fillId="0" borderId="0" xfId="0" applyNumberFormat="1"/>
    <xf numFmtId="0" fontId="0" fillId="0" borderId="0" xfId="1" applyNumberFormat="1" applyFont="1"/>
    <xf numFmtId="171" fontId="0" fillId="0" borderId="0" xfId="0" applyNumberFormat="1" applyFill="1"/>
    <xf numFmtId="2" fontId="0" fillId="0" borderId="0" xfId="0" applyNumberFormat="1" applyFill="1"/>
    <xf numFmtId="2" fontId="11" fillId="0" borderId="0" xfId="0" applyNumberFormat="1" applyFont="1" applyBorder="1" applyAlignment="1"/>
    <xf numFmtId="169" fontId="14" fillId="0" borderId="0" xfId="3" applyNumberFormat="1" applyFont="1" applyFill="1" applyBorder="1"/>
    <xf numFmtId="3" fontId="30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6" fillId="0" borderId="43" xfId="0" applyFont="1" applyBorder="1"/>
    <xf numFmtId="165" fontId="0" fillId="0" borderId="18" xfId="2" applyFont="1" applyBorder="1"/>
    <xf numFmtId="165" fontId="0" fillId="0" borderId="12" xfId="2" applyFont="1" applyBorder="1"/>
    <xf numFmtId="0" fontId="6" fillId="0" borderId="3" xfId="0" applyFont="1" applyBorder="1" applyAlignment="1">
      <alignment horizontal="center"/>
    </xf>
    <xf numFmtId="167" fontId="0" fillId="0" borderId="0" xfId="3" applyNumberFormat="1" applyFont="1"/>
    <xf numFmtId="1" fontId="0" fillId="0" borderId="0" xfId="3" applyNumberFormat="1" applyFont="1" applyFill="1" applyBorder="1"/>
    <xf numFmtId="165" fontId="0" fillId="0" borderId="0" xfId="2" applyFont="1" applyFill="1" applyBorder="1"/>
    <xf numFmtId="170" fontId="14" fillId="0" borderId="0" xfId="2" applyNumberFormat="1" applyFont="1"/>
    <xf numFmtId="170" fontId="14" fillId="5" borderId="0" xfId="2" applyNumberFormat="1" applyFont="1" applyFill="1"/>
    <xf numFmtId="170" fontId="14" fillId="0" borderId="4" xfId="2" applyNumberFormat="1" applyFont="1" applyBorder="1"/>
    <xf numFmtId="170" fontId="14" fillId="0" borderId="38" xfId="2" applyNumberFormat="1" applyFont="1" applyBorder="1"/>
    <xf numFmtId="165" fontId="0" fillId="0" borderId="0" xfId="2" applyNumberFormat="1" applyFont="1" applyFill="1" applyBorder="1"/>
    <xf numFmtId="0" fontId="14" fillId="0" borderId="22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1" fontId="33" fillId="0" borderId="1" xfId="0" applyNumberFormat="1" applyFont="1" applyFill="1" applyBorder="1" applyAlignment="1">
      <alignment horizontal="center" vertical="center" wrapText="1"/>
    </xf>
    <xf numFmtId="1" fontId="33" fillId="0" borderId="1" xfId="2" applyNumberFormat="1" applyFont="1" applyBorder="1" applyAlignment="1">
      <alignment horizontal="center" vertical="center" wrapText="1"/>
    </xf>
    <xf numFmtId="0" fontId="34" fillId="15" borderId="1" xfId="0" applyFont="1" applyFill="1" applyBorder="1" applyAlignment="1">
      <alignment horizontal="center" vertical="center"/>
    </xf>
    <xf numFmtId="170" fontId="34" fillId="0" borderId="1" xfId="2" applyNumberFormat="1" applyFont="1" applyBorder="1" applyAlignment="1">
      <alignment horizontal="center" vertical="center"/>
    </xf>
    <xf numFmtId="0" fontId="34" fillId="0" borderId="0" xfId="0" applyFont="1"/>
    <xf numFmtId="170" fontId="34" fillId="15" borderId="1" xfId="2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>
      <alignment horizontal="center" vertical="center" wrapText="1"/>
    </xf>
    <xf numFmtId="170" fontId="34" fillId="8" borderId="1" xfId="2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64" fontId="33" fillId="0" borderId="1" xfId="0" applyNumberFormat="1" applyFont="1" applyBorder="1" applyAlignment="1">
      <alignment horizontal="center" vertical="center"/>
    </xf>
    <xf numFmtId="0" fontId="35" fillId="16" borderId="1" xfId="0" applyFont="1" applyFill="1" applyBorder="1" applyAlignment="1">
      <alignment horizontal="center" vertical="center" wrapText="1"/>
    </xf>
    <xf numFmtId="1" fontId="36" fillId="16" borderId="1" xfId="0" applyNumberFormat="1" applyFont="1" applyFill="1" applyBorder="1" applyAlignment="1">
      <alignment horizontal="center" vertical="center" wrapText="1"/>
    </xf>
    <xf numFmtId="170" fontId="36" fillId="16" borderId="44" xfId="2" applyNumberFormat="1" applyFont="1" applyFill="1" applyBorder="1" applyAlignment="1">
      <alignment horizontal="center" vertical="center" wrapText="1"/>
    </xf>
    <xf numFmtId="1" fontId="33" fillId="0" borderId="44" xfId="0" applyNumberFormat="1" applyFont="1" applyFill="1" applyBorder="1" applyAlignment="1">
      <alignment horizontal="center" vertical="center" wrapText="1"/>
    </xf>
    <xf numFmtId="170" fontId="0" fillId="0" borderId="0" xfId="0" applyNumberFormat="1"/>
    <xf numFmtId="0" fontId="0" fillId="0" borderId="45" xfId="0" applyBorder="1"/>
    <xf numFmtId="0" fontId="0" fillId="0" borderId="0" xfId="0" applyBorder="1" applyAlignment="1">
      <alignment horizontal="center"/>
    </xf>
    <xf numFmtId="0" fontId="0" fillId="0" borderId="46" xfId="0" applyBorder="1"/>
    <xf numFmtId="17" fontId="14" fillId="0" borderId="0" xfId="0" applyNumberFormat="1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17" fontId="14" fillId="0" borderId="46" xfId="0" applyNumberFormat="1" applyFont="1" applyBorder="1" applyAlignment="1">
      <alignment horizontal="center"/>
    </xf>
    <xf numFmtId="17" fontId="14" fillId="0" borderId="0" xfId="0" applyNumberFormat="1" applyFont="1" applyAlignment="1">
      <alignment horizontal="center"/>
    </xf>
    <xf numFmtId="169" fontId="0" fillId="0" borderId="46" xfId="3" applyNumberFormat="1" applyFont="1" applyBorder="1"/>
    <xf numFmtId="172" fontId="0" fillId="0" borderId="0" xfId="3" applyNumberFormat="1" applyFont="1" applyBorder="1"/>
    <xf numFmtId="0" fontId="14" fillId="0" borderId="45" xfId="0" applyFont="1" applyBorder="1"/>
    <xf numFmtId="169" fontId="38" fillId="8" borderId="0" xfId="3" applyNumberFormat="1" applyFont="1" applyFill="1" applyBorder="1" applyAlignment="1">
      <alignment horizontal="center" vertical="center" wrapText="1"/>
    </xf>
    <xf numFmtId="169" fontId="14" fillId="0" borderId="46" xfId="3" applyNumberFormat="1" applyFont="1" applyBorder="1"/>
    <xf numFmtId="169" fontId="14" fillId="0" borderId="46" xfId="3" applyNumberFormat="1" applyFont="1" applyFill="1" applyBorder="1"/>
    <xf numFmtId="0" fontId="0" fillId="0" borderId="45" xfId="0" applyFont="1" applyBorder="1"/>
    <xf numFmtId="169" fontId="14" fillId="0" borderId="0" xfId="3" applyNumberFormat="1" applyFont="1" applyBorder="1"/>
    <xf numFmtId="173" fontId="14" fillId="0" borderId="0" xfId="3" applyNumberFormat="1" applyFont="1" applyBorder="1"/>
    <xf numFmtId="173" fontId="14" fillId="0" borderId="46" xfId="3" applyNumberFormat="1" applyFont="1" applyBorder="1"/>
    <xf numFmtId="172" fontId="14" fillId="0" borderId="0" xfId="3" applyNumberFormat="1" applyFont="1" applyFill="1" applyBorder="1"/>
    <xf numFmtId="0" fontId="14" fillId="0" borderId="47" xfId="0" applyFont="1" applyBorder="1"/>
    <xf numFmtId="169" fontId="14" fillId="0" borderId="48" xfId="3" applyNumberFormat="1" applyFont="1" applyBorder="1"/>
    <xf numFmtId="1" fontId="0" fillId="0" borderId="0" xfId="0" applyNumberFormat="1"/>
    <xf numFmtId="0" fontId="0" fillId="0" borderId="45" xfId="0" applyFont="1" applyFill="1" applyBorder="1"/>
    <xf numFmtId="0" fontId="0" fillId="0" borderId="0" xfId="0" applyFont="1"/>
    <xf numFmtId="0" fontId="0" fillId="18" borderId="0" xfId="0" applyFill="1"/>
    <xf numFmtId="10" fontId="0" fillId="0" borderId="1" xfId="1" applyNumberFormat="1" applyFont="1" applyFill="1" applyBorder="1" applyProtection="1">
      <protection locked="0"/>
    </xf>
    <xf numFmtId="10" fontId="0" fillId="18" borderId="0" xfId="0" applyNumberFormat="1" applyFill="1"/>
    <xf numFmtId="0" fontId="0" fillId="0" borderId="1" xfId="0" applyFill="1" applyBorder="1" applyProtection="1">
      <protection locked="0"/>
    </xf>
    <xf numFmtId="175" fontId="0" fillId="18" borderId="0" xfId="0" applyNumberFormat="1" applyFill="1"/>
    <xf numFmtId="174" fontId="0" fillId="18" borderId="0" xfId="0" applyNumberFormat="1" applyFill="1"/>
    <xf numFmtId="0" fontId="0" fillId="18" borderId="0" xfId="0" applyFill="1" applyAlignment="1">
      <alignment horizontal="center"/>
    </xf>
    <xf numFmtId="165" fontId="0" fillId="18" borderId="0" xfId="2" applyFont="1" applyFill="1"/>
    <xf numFmtId="165" fontId="0" fillId="18" borderId="0" xfId="2" applyNumberFormat="1" applyFont="1" applyFill="1"/>
    <xf numFmtId="175" fontId="14" fillId="4" borderId="0" xfId="0" applyNumberFormat="1" applyFont="1" applyFill="1"/>
    <xf numFmtId="175" fontId="14" fillId="4" borderId="0" xfId="2" applyNumberFormat="1" applyFont="1" applyFill="1"/>
    <xf numFmtId="165" fontId="42" fillId="4" borderId="0" xfId="2" applyFont="1" applyFill="1" applyAlignment="1">
      <alignment horizontal="center"/>
    </xf>
    <xf numFmtId="165" fontId="42" fillId="4" borderId="0" xfId="2" applyNumberFormat="1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10" fontId="0" fillId="4" borderId="1" xfId="1" applyNumberFormat="1" applyFont="1" applyFill="1" applyBorder="1" applyProtection="1">
      <protection locked="0"/>
    </xf>
    <xf numFmtId="10" fontId="0" fillId="4" borderId="0" xfId="0" applyNumberFormat="1" applyFill="1"/>
    <xf numFmtId="0" fontId="0" fillId="4" borderId="1" xfId="0" applyFill="1" applyBorder="1" applyProtection="1">
      <protection locked="0"/>
    </xf>
    <xf numFmtId="175" fontId="0" fillId="4" borderId="0" xfId="0" applyNumberFormat="1" applyFill="1"/>
    <xf numFmtId="174" fontId="0" fillId="4" borderId="0" xfId="0" applyNumberFormat="1" applyFill="1"/>
    <xf numFmtId="175" fontId="0" fillId="4" borderId="0" xfId="0" applyNumberFormat="1" applyFill="1" applyAlignment="1">
      <alignment horizontal="center"/>
    </xf>
    <xf numFmtId="165" fontId="0" fillId="4" borderId="0" xfId="2" applyFont="1" applyFill="1"/>
    <xf numFmtId="165" fontId="0" fillId="4" borderId="0" xfId="2" applyNumberFormat="1" applyFont="1" applyFill="1"/>
    <xf numFmtId="165" fontId="0" fillId="4" borderId="0" xfId="2" applyFont="1" applyFill="1" applyAlignment="1">
      <alignment horizontal="center"/>
    </xf>
    <xf numFmtId="0" fontId="42" fillId="4" borderId="0" xfId="0" applyFont="1" applyFill="1" applyAlignment="1">
      <alignment horizontal="right"/>
    </xf>
    <xf numFmtId="175" fontId="42" fillId="4" borderId="0" xfId="0" applyNumberFormat="1" applyFont="1" applyFill="1"/>
    <xf numFmtId="175" fontId="42" fillId="4" borderId="0" xfId="2" applyNumberFormat="1" applyFont="1" applyFill="1"/>
    <xf numFmtId="0" fontId="14" fillId="0" borderId="0" xfId="0" applyFont="1" applyAlignment="1">
      <alignment horizontal="center"/>
    </xf>
    <xf numFmtId="1" fontId="0" fillId="0" borderId="0" xfId="0" applyNumberFormat="1" applyFont="1"/>
    <xf numFmtId="1" fontId="0" fillId="0" borderId="0" xfId="3" applyNumberFormat="1" applyFont="1" applyBorder="1"/>
    <xf numFmtId="1" fontId="14" fillId="0" borderId="46" xfId="3" applyNumberFormat="1" applyFont="1" applyBorder="1"/>
    <xf numFmtId="1" fontId="14" fillId="0" borderId="0" xfId="3" applyNumberFormat="1" applyFont="1" applyBorder="1"/>
    <xf numFmtId="1" fontId="14" fillId="0" borderId="0" xfId="3" applyNumberFormat="1" applyFont="1" applyFill="1" applyBorder="1"/>
    <xf numFmtId="169" fontId="0" fillId="0" borderId="3" xfId="3" applyNumberFormat="1" applyFont="1" applyBorder="1"/>
    <xf numFmtId="3" fontId="0" fillId="0" borderId="44" xfId="0" applyNumberFormat="1" applyFont="1" applyBorder="1"/>
    <xf numFmtId="3" fontId="22" fillId="0" borderId="44" xfId="3" applyNumberFormat="1" applyFont="1" applyBorder="1" applyAlignment="1"/>
    <xf numFmtId="3" fontId="22" fillId="0" borderId="44" xfId="3" applyNumberFormat="1" applyFont="1" applyFill="1" applyBorder="1" applyAlignment="1"/>
    <xf numFmtId="3" fontId="0" fillId="0" borderId="44" xfId="3" applyNumberFormat="1" applyFont="1" applyBorder="1" applyAlignment="1"/>
    <xf numFmtId="3" fontId="22" fillId="0" borderId="8" xfId="3" applyNumberFormat="1" applyFont="1" applyBorder="1" applyAlignment="1"/>
    <xf numFmtId="172" fontId="0" fillId="0" borderId="0" xfId="3" applyNumberFormat="1" applyFont="1" applyFill="1" applyBorder="1"/>
    <xf numFmtId="3" fontId="22" fillId="0" borderId="0" xfId="3" applyNumberFormat="1" applyFont="1" applyBorder="1" applyAlignment="1"/>
    <xf numFmtId="1" fontId="0" fillId="0" borderId="46" xfId="0" applyNumberFormat="1" applyBorder="1"/>
    <xf numFmtId="1" fontId="0" fillId="0" borderId="0" xfId="0" applyNumberFormat="1" applyFill="1"/>
    <xf numFmtId="0" fontId="14" fillId="0" borderId="0" xfId="0" applyFont="1" applyAlignment="1">
      <alignment horizontal="center"/>
    </xf>
    <xf numFmtId="172" fontId="14" fillId="0" borderId="0" xfId="3" applyNumberFormat="1" applyFont="1" applyBorder="1"/>
    <xf numFmtId="0" fontId="24" fillId="0" borderId="35" xfId="0" applyFont="1" applyFill="1" applyBorder="1" applyAlignment="1">
      <alignment horizontal="left"/>
    </xf>
    <xf numFmtId="0" fontId="24" fillId="0" borderId="35" xfId="0" applyFont="1" applyFill="1" applyBorder="1" applyAlignment="1"/>
    <xf numFmtId="1" fontId="0" fillId="0" borderId="0" xfId="0" applyNumberFormat="1" applyFont="1" applyFill="1"/>
    <xf numFmtId="0" fontId="0" fillId="0" borderId="0" xfId="0" applyFont="1" applyFill="1"/>
    <xf numFmtId="0" fontId="22" fillId="0" borderId="35" xfId="0" applyFont="1" applyFill="1" applyBorder="1" applyAlignment="1"/>
    <xf numFmtId="0" fontId="22" fillId="0" borderId="35" xfId="0" applyFont="1" applyFill="1" applyBorder="1" applyAlignment="1">
      <alignment horizontal="left"/>
    </xf>
    <xf numFmtId="0" fontId="26" fillId="0" borderId="35" xfId="0" applyFont="1" applyFill="1" applyBorder="1" applyAlignment="1">
      <alignment horizontal="left"/>
    </xf>
    <xf numFmtId="0" fontId="14" fillId="0" borderId="45" xfId="0" applyFont="1" applyFill="1" applyBorder="1"/>
    <xf numFmtId="0" fontId="0" fillId="0" borderId="49" xfId="0" applyFont="1" applyFill="1" applyBorder="1"/>
    <xf numFmtId="0" fontId="24" fillId="0" borderId="50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24" fillId="0" borderId="51" xfId="0" applyFont="1" applyFill="1" applyBorder="1" applyAlignment="1">
      <alignment horizontal="left"/>
    </xf>
    <xf numFmtId="0" fontId="24" fillId="0" borderId="8" xfId="0" applyFont="1" applyFill="1" applyBorder="1" applyAlignment="1">
      <alignment horizontal="left"/>
    </xf>
    <xf numFmtId="3" fontId="0" fillId="0" borderId="44" xfId="3" applyNumberFormat="1" applyFont="1" applyFill="1" applyBorder="1" applyAlignment="1"/>
    <xf numFmtId="3" fontId="22" fillId="0" borderId="8" xfId="3" applyNumberFormat="1" applyFont="1" applyFill="1" applyBorder="1" applyAlignment="1"/>
    <xf numFmtId="1" fontId="0" fillId="0" borderId="46" xfId="0" applyNumberFormat="1" applyFill="1" applyBorder="1"/>
    <xf numFmtId="1" fontId="14" fillId="0" borderId="46" xfId="3" applyNumberFormat="1" applyFont="1" applyFill="1" applyBorder="1"/>
    <xf numFmtId="3" fontId="22" fillId="0" borderId="0" xfId="3" applyNumberFormat="1" applyFont="1" applyFill="1" applyBorder="1" applyAlignment="1"/>
    <xf numFmtId="173" fontId="14" fillId="0" borderId="0" xfId="3" applyNumberFormat="1" applyFont="1" applyFill="1" applyBorder="1"/>
    <xf numFmtId="173" fontId="14" fillId="0" borderId="46" xfId="3" applyNumberFormat="1" applyFont="1" applyFill="1" applyBorder="1"/>
    <xf numFmtId="0" fontId="0" fillId="0" borderId="45" xfId="0" applyFill="1" applyBorder="1"/>
    <xf numFmtId="0" fontId="14" fillId="0" borderId="47" xfId="0" applyFont="1" applyFill="1" applyBorder="1"/>
    <xf numFmtId="169" fontId="0" fillId="0" borderId="6" xfId="3" applyNumberFormat="1" applyFont="1" applyFill="1" applyBorder="1"/>
    <xf numFmtId="169" fontId="14" fillId="0" borderId="48" xfId="3" applyNumberFormat="1" applyFont="1" applyFill="1" applyBorder="1"/>
    <xf numFmtId="169" fontId="14" fillId="0" borderId="0" xfId="3" applyNumberFormat="1" applyFont="1" applyFill="1"/>
    <xf numFmtId="0" fontId="14" fillId="0" borderId="0" xfId="0" applyFont="1" applyFill="1"/>
    <xf numFmtId="0" fontId="0" fillId="0" borderId="52" xfId="0" applyFont="1" applyFill="1" applyBorder="1"/>
    <xf numFmtId="0" fontId="24" fillId="0" borderId="44" xfId="0" applyFont="1" applyFill="1" applyBorder="1" applyAlignment="1">
      <alignment horizontal="left"/>
    </xf>
    <xf numFmtId="0" fontId="24" fillId="0" borderId="53" xfId="0" applyFont="1" applyFill="1" applyBorder="1" applyAlignment="1">
      <alignment horizontal="left"/>
    </xf>
    <xf numFmtId="0" fontId="24" fillId="0" borderId="44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43" fillId="0" borderId="0" xfId="0" applyFont="1"/>
    <xf numFmtId="0" fontId="44" fillId="0" borderId="0" xfId="5" applyFill="1"/>
    <xf numFmtId="0" fontId="44" fillId="0" borderId="0" xfId="5"/>
    <xf numFmtId="169" fontId="16" fillId="0" borderId="54" xfId="3" applyNumberFormat="1" applyFont="1" applyFill="1" applyBorder="1"/>
    <xf numFmtId="17" fontId="0" fillId="4" borderId="0" xfId="0" applyNumberFormat="1" applyFill="1"/>
    <xf numFmtId="176" fontId="15" fillId="0" borderId="0" xfId="0" applyNumberFormat="1" applyFont="1" applyBorder="1"/>
    <xf numFmtId="9" fontId="0" fillId="0" borderId="0" xfId="1" applyFont="1" applyBorder="1"/>
    <xf numFmtId="0" fontId="1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7" fillId="7" borderId="22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left"/>
    </xf>
    <xf numFmtId="0" fontId="7" fillId="7" borderId="23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0" fillId="10" borderId="2" xfId="0" applyFill="1" applyBorder="1" applyAlignment="1">
      <alignment horizontal="left"/>
    </xf>
    <xf numFmtId="0" fontId="0" fillId="10" borderId="5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8" borderId="5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1" fillId="17" borderId="9" xfId="0" applyFont="1" applyFill="1" applyBorder="1" applyAlignment="1">
      <alignment horizontal="center"/>
    </xf>
    <xf numFmtId="0" fontId="31" fillId="17" borderId="7" xfId="0" applyFont="1" applyFill="1" applyBorder="1" applyAlignment="1">
      <alignment horizontal="center"/>
    </xf>
    <xf numFmtId="0" fontId="31" fillId="17" borderId="10" xfId="0" applyFont="1" applyFill="1" applyBorder="1" applyAlignment="1">
      <alignment horizontal="center"/>
    </xf>
    <xf numFmtId="0" fontId="37" fillId="0" borderId="45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46" xfId="0" applyFont="1" applyFill="1" applyBorder="1" applyAlignment="1">
      <alignment horizontal="center"/>
    </xf>
    <xf numFmtId="0" fontId="37" fillId="0" borderId="47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7" fillId="0" borderId="48" xfId="0" applyFont="1" applyFill="1" applyBorder="1" applyAlignment="1">
      <alignment horizontal="center"/>
    </xf>
  </cellXfs>
  <cellStyles count="6">
    <cellStyle name="Comma" xfId="3" builtinId="3"/>
    <cellStyle name="Currency" xfId="2" builtinId="4"/>
    <cellStyle name="Currency 2" xfId="4"/>
    <cellStyle name="Hyperlink" xfId="5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00"/>
      <color rgb="FF0000FF"/>
      <color rgb="FFC9D4C6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'Client Retention Analysis'!$F$13:$F$15</c:f>
              <c:strCache>
                <c:ptCount val="3"/>
                <c:pt idx="0">
                  <c:v>RETAINED 64%</c:v>
                </c:pt>
                <c:pt idx="1">
                  <c:v>NEW 27%</c:v>
                </c:pt>
                <c:pt idx="2">
                  <c:v>RETURNED 9%</c:v>
                </c:pt>
              </c:strCache>
            </c:strRef>
          </c:cat>
          <c:val>
            <c:numRef>
              <c:f>'Client Retention Analysis'!$G$13:$G$15</c:f>
              <c:numCache>
                <c:formatCode>General</c:formatCode>
                <c:ptCount val="3"/>
                <c:pt idx="0">
                  <c:v>1775</c:v>
                </c:pt>
                <c:pt idx="1">
                  <c:v>737</c:v>
                </c:pt>
                <c:pt idx="2">
                  <c:v>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508000</xdr:colOff>
      <xdr:row>7</xdr:row>
      <xdr:rowOff>38100</xdr:rowOff>
    </xdr:from>
    <xdr:to>
      <xdr:col>6</xdr:col>
      <xdr:colOff>203200</xdr:colOff>
      <xdr:row>15</xdr:row>
      <xdr:rowOff>57150</xdr:rowOff>
    </xdr:to>
    <xdr:sp macro="" textlink="">
      <xdr:nvSpPr>
        <xdr:cNvPr id="2" name="Rounded Rectangular Callout 1"/>
        <xdr:cNvSpPr/>
      </xdr:nvSpPr>
      <xdr:spPr>
        <a:xfrm>
          <a:off x="6756400" y="1587500"/>
          <a:ext cx="914400" cy="1485900"/>
        </a:xfrm>
        <a:prstGeom prst="wedgeRoundRectCallout">
          <a:avLst>
            <a:gd name="adj1" fmla="val -176389"/>
            <a:gd name="adj2" fmla="val -951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figures</a:t>
          </a:r>
          <a:r>
            <a:rPr lang="en-AU" sz="1100" baseline="0"/>
            <a:t> in the income statement do not include GST</a:t>
          </a:r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29</xdr:row>
      <xdr:rowOff>66675</xdr:rowOff>
    </xdr:from>
    <xdr:to>
      <xdr:col>10</xdr:col>
      <xdr:colOff>723900</xdr:colOff>
      <xdr:row>32</xdr:row>
      <xdr:rowOff>107823</xdr:rowOff>
    </xdr:to>
    <xdr:sp macro="" textlink="">
      <xdr:nvSpPr>
        <xdr:cNvPr id="3" name="Rounded Rectangular Callout 2"/>
        <xdr:cNvSpPr/>
      </xdr:nvSpPr>
      <xdr:spPr>
        <a:xfrm>
          <a:off x="7419975" y="5581650"/>
          <a:ext cx="914400" cy="612648"/>
        </a:xfrm>
        <a:prstGeom prst="wedgeRoundRectCallout">
          <a:avLst>
            <a:gd name="adj1" fmla="val 846875"/>
            <a:gd name="adj2" fmla="val -17070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409574</xdr:colOff>
      <xdr:row>29</xdr:row>
      <xdr:rowOff>57150</xdr:rowOff>
    </xdr:from>
    <xdr:to>
      <xdr:col>11</xdr:col>
      <xdr:colOff>571499</xdr:colOff>
      <xdr:row>32</xdr:row>
      <xdr:rowOff>117348</xdr:rowOff>
    </xdr:to>
    <xdr:sp macro="" textlink="">
      <xdr:nvSpPr>
        <xdr:cNvPr id="2" name="Rounded Rectangular Callout 1"/>
        <xdr:cNvSpPr/>
      </xdr:nvSpPr>
      <xdr:spPr>
        <a:xfrm>
          <a:off x="6753224" y="5572125"/>
          <a:ext cx="2200275" cy="631698"/>
        </a:xfrm>
        <a:prstGeom prst="wedgeRoundRectCallout">
          <a:avLst>
            <a:gd name="adj1" fmla="val -196265"/>
            <a:gd name="adj2" fmla="val -6460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Fixed</a:t>
          </a:r>
          <a:r>
            <a:rPr lang="en-AU" sz="1100" baseline="0"/>
            <a:t> 1st Sept 2015.  Now matches. </a:t>
          </a:r>
          <a:endParaRPr lang="en-A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18</xdr:row>
      <xdr:rowOff>28575</xdr:rowOff>
    </xdr:from>
    <xdr:to>
      <xdr:col>6</xdr:col>
      <xdr:colOff>361950</xdr:colOff>
      <xdr:row>31</xdr:row>
      <xdr:rowOff>149225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671831</xdr:colOff>
      <xdr:row>2</xdr:row>
      <xdr:rowOff>25400</xdr:rowOff>
    </xdr:from>
    <xdr:to>
      <xdr:col>9</xdr:col>
      <xdr:colOff>457200</xdr:colOff>
      <xdr:row>15</xdr:row>
      <xdr:rowOff>158750</xdr:rowOff>
    </xdr:to>
    <xdr:sp macro="" textlink="">
      <xdr:nvSpPr>
        <xdr:cNvPr id="2" name="Rounded Rectangular Callout 1"/>
        <xdr:cNvSpPr/>
      </xdr:nvSpPr>
      <xdr:spPr>
        <a:xfrm>
          <a:off x="7783831" y="406400"/>
          <a:ext cx="1334769" cy="2609850"/>
        </a:xfrm>
        <a:prstGeom prst="wedgeRoundRectCallout">
          <a:avLst>
            <a:gd name="adj1" fmla="val -100281"/>
            <a:gd name="adj2" fmla="val -1119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for a particular</a:t>
          </a:r>
          <a:r>
            <a:rPr lang="en-AU" sz="1100" baseline="0"/>
            <a:t> date </a:t>
          </a:r>
          <a:r>
            <a:rPr lang="en-AU" sz="1100"/>
            <a:t>the</a:t>
          </a:r>
          <a:r>
            <a:rPr lang="en-AU" sz="1100" baseline="0"/>
            <a:t> opening amount  of the loan must match the liability on the 'Statement of financial position,</a:t>
          </a:r>
        </a:p>
        <a:p>
          <a:pPr algn="l"/>
          <a:r>
            <a:rPr lang="en-AU" sz="1100" baseline="0"/>
            <a:t>- next year, the opening amount and amount owing will be 12 months further down the loan schedule</a:t>
          </a:r>
          <a:endParaRPr lang="en-A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280147</xdr:colOff>
      <xdr:row>27</xdr:row>
      <xdr:rowOff>22411</xdr:rowOff>
    </xdr:from>
    <xdr:to>
      <xdr:col>32</xdr:col>
      <xdr:colOff>1541930</xdr:colOff>
      <xdr:row>32</xdr:row>
      <xdr:rowOff>7530</xdr:rowOff>
    </xdr:to>
    <xdr:sp macro="" textlink="">
      <xdr:nvSpPr>
        <xdr:cNvPr id="2" name="Rounded Rectangular Callout 1"/>
        <xdr:cNvSpPr/>
      </xdr:nvSpPr>
      <xdr:spPr>
        <a:xfrm>
          <a:off x="24910676" y="5961529"/>
          <a:ext cx="2505636" cy="937619"/>
        </a:xfrm>
        <a:prstGeom prst="wedgeRoundRectCallout">
          <a:avLst>
            <a:gd name="adj1" fmla="val 81766"/>
            <a:gd name="adj2" fmla="val 22274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poor Marie - you  are not paying her much</a:t>
          </a:r>
          <a:r>
            <a:rPr lang="en-AU" sz="1100" baseline="0"/>
            <a:t> for her work!  trap - was last year she was working 0.4 - but rate was too low.</a:t>
          </a:r>
          <a:endParaRPr lang="en-A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22412</xdr:colOff>
      <xdr:row>19</xdr:row>
      <xdr:rowOff>33617</xdr:rowOff>
    </xdr:from>
    <xdr:to>
      <xdr:col>6</xdr:col>
      <xdr:colOff>331694</xdr:colOff>
      <xdr:row>22</xdr:row>
      <xdr:rowOff>74765</xdr:rowOff>
    </xdr:to>
    <xdr:sp macro="" textlink="">
      <xdr:nvSpPr>
        <xdr:cNvPr id="2" name="Rounded Rectangular Callout 1"/>
        <xdr:cNvSpPr/>
      </xdr:nvSpPr>
      <xdr:spPr>
        <a:xfrm>
          <a:off x="3417794" y="4168588"/>
          <a:ext cx="914400" cy="612648"/>
        </a:xfrm>
        <a:prstGeom prst="wedgeRoundRectCallout">
          <a:avLst>
            <a:gd name="adj1" fmla="val -264706"/>
            <a:gd name="adj2" fmla="val -53744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good work !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1216407\Downloads\vibe-lamoneyackaville2015financialreports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 Fin Position"/>
      <sheetName val="Income Statement"/>
      <sheetName val="Cost of Goods Sold (COGS)"/>
      <sheetName val="Transaction Report"/>
      <sheetName val="Service Report"/>
      <sheetName val="Client Retention Analysis"/>
      <sheetName val="Status Quo budget"/>
      <sheetName val="Loan calculator(Animal Trailer)"/>
      <sheetName val="Loan calculator (Motor vehicle)"/>
      <sheetName val="Loan calculator (Equipment)"/>
      <sheetName val="Test CFB 1"/>
      <sheetName val="Test CFB 2"/>
      <sheetName val="Test CFB 3-clients paying"/>
      <sheetName val="Sheet1"/>
    </sheetNames>
    <sheetDataSet>
      <sheetData sheetId="0">
        <row r="7">
          <cell r="C7">
            <v>-57045</v>
          </cell>
        </row>
        <row r="8">
          <cell r="C8">
            <v>100</v>
          </cell>
        </row>
        <row r="9">
          <cell r="C9">
            <v>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cfrith.com.au/resource/GIO%20NSW%20Proposal%20Form.pdf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s://www.ato.gov.au/business/gst/in-detail/rules-for-specific-transactions/international-transactions/gst-and-international-freight-transport/" TargetMode="External"/><Relationship Id="rId7" Type="http://schemas.openxmlformats.org/officeDocument/2006/relationships/hyperlink" Target="http://www.debtrecovered.com.au/debt-collection-services" TargetMode="External"/><Relationship Id="rId12" Type="http://schemas.openxmlformats.org/officeDocument/2006/relationships/printerSettings" Target="../printerSettings/printerSettings4.bin"/><Relationship Id="rId2" Type="http://schemas.openxmlformats.org/officeDocument/2006/relationships/hyperlink" Target="http://www.australiaeguide.com.au/australia-post.php" TargetMode="External"/><Relationship Id="rId1" Type="http://schemas.openxmlformats.org/officeDocument/2006/relationships/hyperlink" Target="http://www.kmaccountingservices.com.au/index.php/articles/common-gst-mistakes-made-by-small-business/" TargetMode="External"/><Relationship Id="rId6" Type="http://schemas.openxmlformats.org/officeDocument/2006/relationships/hyperlink" Target="http://www.trc.qld.gov.au/sites/default/files/Water,%20Wastewater%20and%20Waste_0.pdf" TargetMode="External"/><Relationship Id="rId11" Type="http://schemas.openxmlformats.org/officeDocument/2006/relationships/hyperlink" Target="http://archive.treasury.gov.au/documents/119/PDF/4gst.pdf" TargetMode="External"/><Relationship Id="rId5" Type="http://schemas.openxmlformats.org/officeDocument/2006/relationships/hyperlink" Target="https://www.ato.gov.au/General/Property/Property-used-in-running-a-business/Leasing-and-renting-commercial-premises/" TargetMode="External"/><Relationship Id="rId10" Type="http://schemas.openxmlformats.org/officeDocument/2006/relationships/hyperlink" Target="https://www.icfrith.com.au/resource/GIO%20NSW%20Proposal%20Form.pdf" TargetMode="External"/><Relationship Id="rId4" Type="http://schemas.openxmlformats.org/officeDocument/2006/relationships/hyperlink" Target="https://www.ato.gov.au/Business/Bus/Hire-purchase,-leasing-and-GST/" TargetMode="External"/><Relationship Id="rId9" Type="http://schemas.openxmlformats.org/officeDocument/2006/relationships/hyperlink" Target="http://www.sro.vic.gov.au/sro/sronav.nsf/v/5D9299B2FB4C9C65CA2578930004AF04/$file/Publication-PTX-016.pdf" TargetMode="External"/><Relationship Id="rId1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cfrith.com.au/resource/GIO%20NSW%20Proposal%20Form.pdf" TargetMode="External"/><Relationship Id="rId13" Type="http://schemas.openxmlformats.org/officeDocument/2006/relationships/vmlDrawing" Target="../drawings/vmlDrawing2.vml"/><Relationship Id="rId3" Type="http://schemas.openxmlformats.org/officeDocument/2006/relationships/hyperlink" Target="https://www.ato.gov.au/business/gst/in-detail/rules-for-specific-transactions/international-transactions/gst-and-international-freight-transport/" TargetMode="External"/><Relationship Id="rId7" Type="http://schemas.openxmlformats.org/officeDocument/2006/relationships/hyperlink" Target="http://www.debtrecovered.com.au/debt-collection-services" TargetMode="External"/><Relationship Id="rId12" Type="http://schemas.openxmlformats.org/officeDocument/2006/relationships/printerSettings" Target="../printerSettings/printerSettings5.bin"/><Relationship Id="rId2" Type="http://schemas.openxmlformats.org/officeDocument/2006/relationships/hyperlink" Target="http://www.australiaeguide.com.au/australia-post.php" TargetMode="External"/><Relationship Id="rId1" Type="http://schemas.openxmlformats.org/officeDocument/2006/relationships/hyperlink" Target="http://www.kmaccountingservices.com.au/index.php/articles/common-gst-mistakes-made-by-small-business/" TargetMode="External"/><Relationship Id="rId6" Type="http://schemas.openxmlformats.org/officeDocument/2006/relationships/hyperlink" Target="http://www.trc.qld.gov.au/sites/default/files/Water,%20Wastewater%20and%20Waste_0.pdf" TargetMode="External"/><Relationship Id="rId11" Type="http://schemas.openxmlformats.org/officeDocument/2006/relationships/hyperlink" Target="http://archive.treasury.gov.au/documents/119/PDF/4gst.pdf" TargetMode="External"/><Relationship Id="rId5" Type="http://schemas.openxmlformats.org/officeDocument/2006/relationships/hyperlink" Target="https://www.ato.gov.au/General/Property/Property-used-in-running-a-business/Leasing-and-renting-commercial-premises/" TargetMode="External"/><Relationship Id="rId10" Type="http://schemas.openxmlformats.org/officeDocument/2006/relationships/hyperlink" Target="https://www.icfrith.com.au/resource/GIO%20NSW%20Proposal%20Form.pdf" TargetMode="External"/><Relationship Id="rId4" Type="http://schemas.openxmlformats.org/officeDocument/2006/relationships/hyperlink" Target="https://www.ato.gov.au/Business/Bus/Hire-purchase,-leasing-and-GST/" TargetMode="External"/><Relationship Id="rId9" Type="http://schemas.openxmlformats.org/officeDocument/2006/relationships/hyperlink" Target="http://www.sro.vic.gov.au/sro/sronav.nsf/v/5D9299B2FB4C9C65CA2578930004AF04/$file/Publication-PTX-016.pdf" TargetMode="External"/><Relationship Id="rId1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B1:G71"/>
  <sheetViews>
    <sheetView topLeftCell="A37" zoomScale="115" zoomScaleNormal="115" workbookViewId="0">
      <selection activeCell="B61" sqref="B61"/>
    </sheetView>
  </sheetViews>
  <sheetFormatPr defaultRowHeight="14.4" x14ac:dyDescent="0.3"/>
  <cols>
    <col min="1" max="1" width="1.5546875" customWidth="1"/>
    <col min="2" max="2" width="55.109375" customWidth="1"/>
    <col min="3" max="3" width="19.88671875" style="25" customWidth="1"/>
    <col min="4" max="4" width="17.44140625" customWidth="1"/>
    <col min="5" max="5" width="24.44140625" customWidth="1"/>
    <col min="6" max="6" width="4.109375" customWidth="1"/>
  </cols>
  <sheetData>
    <row r="1" spans="2:6" ht="21.75" customHeight="1" x14ac:dyDescent="0.35">
      <c r="B1" s="386" t="s">
        <v>104</v>
      </c>
      <c r="C1" s="387"/>
      <c r="D1" s="388"/>
    </row>
    <row r="2" spans="2:6" x14ac:dyDescent="0.35">
      <c r="B2" s="257" t="s">
        <v>49</v>
      </c>
      <c r="C2" s="65"/>
      <c r="D2" s="66"/>
    </row>
    <row r="3" spans="2:6" x14ac:dyDescent="0.35">
      <c r="B3" s="389" t="s">
        <v>197</v>
      </c>
      <c r="C3" s="390"/>
      <c r="D3" s="391"/>
    </row>
    <row r="4" spans="2:6" ht="15" x14ac:dyDescent="0.25">
      <c r="B4" s="392" t="s">
        <v>338</v>
      </c>
      <c r="C4" s="393"/>
      <c r="D4" s="394"/>
    </row>
    <row r="5" spans="2:6" ht="28.5" x14ac:dyDescent="0.35">
      <c r="B5" s="396" t="s">
        <v>108</v>
      </c>
      <c r="C5" s="397"/>
      <c r="D5" s="398"/>
      <c r="E5" s="395"/>
      <c r="F5" s="395"/>
    </row>
    <row r="6" spans="2:6" ht="15" x14ac:dyDescent="0.25">
      <c r="B6" s="176" t="s">
        <v>182</v>
      </c>
      <c r="C6" s="88"/>
      <c r="D6" s="89"/>
      <c r="E6" s="7"/>
      <c r="F6" s="7"/>
    </row>
    <row r="7" spans="2:6" ht="15" x14ac:dyDescent="0.25">
      <c r="B7" s="152" t="s">
        <v>74</v>
      </c>
      <c r="C7" s="88">
        <v>-57045</v>
      </c>
      <c r="D7" s="89"/>
      <c r="E7" s="7"/>
      <c r="F7" s="7"/>
    </row>
    <row r="8" spans="2:6" ht="15" x14ac:dyDescent="0.25">
      <c r="B8" s="92" t="s">
        <v>7</v>
      </c>
      <c r="C8" s="88">
        <v>100</v>
      </c>
      <c r="D8" s="89"/>
      <c r="E8" s="7"/>
      <c r="F8" s="7"/>
    </row>
    <row r="9" spans="2:6" ht="15" x14ac:dyDescent="0.25">
      <c r="B9" s="92" t="s">
        <v>76</v>
      </c>
      <c r="C9" s="88">
        <v>100</v>
      </c>
      <c r="D9" s="89"/>
      <c r="E9" s="7"/>
      <c r="F9" s="7"/>
    </row>
    <row r="10" spans="2:6" ht="15.75" x14ac:dyDescent="0.25">
      <c r="B10" s="175" t="s">
        <v>75</v>
      </c>
      <c r="C10" s="131">
        <f>'Transaction Report'!H22</f>
        <v>202380.82613000018</v>
      </c>
      <c r="D10" s="93"/>
      <c r="E10" s="22"/>
      <c r="F10" s="22"/>
    </row>
    <row r="11" spans="2:6" x14ac:dyDescent="0.3">
      <c r="B11" s="87" t="s">
        <v>77</v>
      </c>
      <c r="C11" s="130">
        <v>-30300</v>
      </c>
      <c r="D11" s="95"/>
      <c r="E11" s="385"/>
      <c r="F11" s="385"/>
    </row>
    <row r="12" spans="2:6" ht="15" x14ac:dyDescent="0.25">
      <c r="B12" s="179" t="s">
        <v>22</v>
      </c>
      <c r="C12" s="94"/>
      <c r="D12" s="96">
        <f>SUM(C7:C11)</f>
        <v>115235.82613000018</v>
      </c>
    </row>
    <row r="13" spans="2:6" ht="15" x14ac:dyDescent="0.25">
      <c r="B13" s="177" t="s">
        <v>78</v>
      </c>
      <c r="C13" s="94"/>
      <c r="D13" s="93"/>
    </row>
    <row r="14" spans="2:6" ht="15" x14ac:dyDescent="0.25">
      <c r="B14" s="92" t="s">
        <v>80</v>
      </c>
      <c r="C14" s="94">
        <v>107155</v>
      </c>
      <c r="D14" s="93"/>
      <c r="E14" s="62"/>
    </row>
    <row r="15" spans="2:6" ht="15" x14ac:dyDescent="0.25">
      <c r="B15" s="92" t="s">
        <v>175</v>
      </c>
      <c r="C15" s="90">
        <v>12530</v>
      </c>
      <c r="D15" s="93"/>
      <c r="E15" s="43"/>
    </row>
    <row r="16" spans="2:6" ht="15" x14ac:dyDescent="0.25">
      <c r="B16" s="175" t="s">
        <v>79</v>
      </c>
      <c r="C16" s="94">
        <v>-7600</v>
      </c>
      <c r="D16" s="93"/>
      <c r="E16" s="62"/>
    </row>
    <row r="17" spans="2:6" ht="15" x14ac:dyDescent="0.25">
      <c r="B17" s="180" t="s">
        <v>56</v>
      </c>
      <c r="C17" s="94"/>
      <c r="D17" s="97">
        <f>SUM(C14:C16)</f>
        <v>112085</v>
      </c>
      <c r="E17" s="63"/>
    </row>
    <row r="18" spans="2:6" ht="15" x14ac:dyDescent="0.25">
      <c r="B18" s="178" t="s">
        <v>106</v>
      </c>
      <c r="C18" s="94"/>
      <c r="D18" s="93"/>
    </row>
    <row r="19" spans="2:6" x14ac:dyDescent="0.35">
      <c r="B19" s="152" t="s">
        <v>81</v>
      </c>
      <c r="C19" s="94">
        <v>6907.97</v>
      </c>
      <c r="D19" s="93"/>
    </row>
    <row r="20" spans="2:6" x14ac:dyDescent="0.35">
      <c r="B20" s="180" t="s">
        <v>114</v>
      </c>
      <c r="C20" s="94"/>
      <c r="D20" s="96">
        <f>SUM(C19)</f>
        <v>6907.97</v>
      </c>
    </row>
    <row r="21" spans="2:6" x14ac:dyDescent="0.3">
      <c r="B21" s="98" t="s">
        <v>107</v>
      </c>
      <c r="C21" s="129"/>
      <c r="D21" s="149">
        <f>SUM(D12:D20)</f>
        <v>234228.79613000018</v>
      </c>
      <c r="E21" s="233"/>
    </row>
    <row r="22" spans="2:6" ht="15" x14ac:dyDescent="0.25">
      <c r="B22" s="99" t="s">
        <v>82</v>
      </c>
      <c r="C22" s="100"/>
      <c r="D22" s="101"/>
      <c r="E22" s="2"/>
    </row>
    <row r="23" spans="2:6" ht="15" x14ac:dyDescent="0.25">
      <c r="B23" s="92" t="s">
        <v>115</v>
      </c>
      <c r="C23" s="102">
        <v>70174.84</v>
      </c>
      <c r="D23" s="103"/>
      <c r="E23" s="2"/>
    </row>
    <row r="24" spans="2:6" ht="15" x14ac:dyDescent="0.25">
      <c r="B24" s="92" t="s">
        <v>116</v>
      </c>
      <c r="C24" s="102">
        <v>-50852</v>
      </c>
      <c r="D24" s="103"/>
      <c r="E24" s="2"/>
    </row>
    <row r="25" spans="2:6" ht="15" x14ac:dyDescent="0.25">
      <c r="B25" s="92" t="s">
        <v>83</v>
      </c>
      <c r="C25" s="94">
        <v>20000</v>
      </c>
      <c r="D25" s="93"/>
      <c r="E25" s="2"/>
    </row>
    <row r="26" spans="2:6" ht="15" x14ac:dyDescent="0.25">
      <c r="B26" s="92" t="s">
        <v>120</v>
      </c>
      <c r="C26" s="94">
        <v>-10000</v>
      </c>
      <c r="D26" s="93"/>
      <c r="E26" s="2"/>
    </row>
    <row r="27" spans="2:6" ht="15" x14ac:dyDescent="0.25">
      <c r="B27" s="92" t="s">
        <v>84</v>
      </c>
      <c r="C27" s="94">
        <v>99328.78</v>
      </c>
      <c r="D27" s="93"/>
      <c r="E27" s="2"/>
    </row>
    <row r="28" spans="2:6" ht="15" x14ac:dyDescent="0.25">
      <c r="B28" s="92" t="s">
        <v>119</v>
      </c>
      <c r="C28" s="94">
        <v>-37800</v>
      </c>
      <c r="D28" s="93"/>
      <c r="E28" s="2"/>
    </row>
    <row r="29" spans="2:6" ht="15" x14ac:dyDescent="0.25">
      <c r="B29" s="92" t="s">
        <v>117</v>
      </c>
      <c r="C29" s="100">
        <v>207991</v>
      </c>
      <c r="D29" s="101"/>
      <c r="E29" s="3"/>
    </row>
    <row r="30" spans="2:6" ht="15" x14ac:dyDescent="0.25">
      <c r="B30" s="92" t="s">
        <v>118</v>
      </c>
      <c r="C30" s="100">
        <v>-15894</v>
      </c>
      <c r="D30" s="101"/>
      <c r="E30" s="2"/>
    </row>
    <row r="31" spans="2:6" ht="15" x14ac:dyDescent="0.25">
      <c r="B31" s="180" t="s">
        <v>121</v>
      </c>
      <c r="C31" s="100"/>
      <c r="D31" s="150">
        <f>SUM(C23:C30)</f>
        <v>282948.62</v>
      </c>
      <c r="E31" s="5"/>
      <c r="F31" s="3"/>
    </row>
    <row r="32" spans="2:6" ht="15" x14ac:dyDescent="0.25">
      <c r="B32" s="92" t="s">
        <v>85</v>
      </c>
      <c r="C32" s="100"/>
      <c r="D32" s="101"/>
    </row>
    <row r="33" spans="2:7" ht="15" x14ac:dyDescent="0.25">
      <c r="B33" s="181" t="s">
        <v>86</v>
      </c>
      <c r="C33" s="100">
        <v>35000</v>
      </c>
      <c r="D33" s="101"/>
    </row>
    <row r="34" spans="2:7" ht="15" x14ac:dyDescent="0.25">
      <c r="B34" s="180" t="s">
        <v>122</v>
      </c>
      <c r="C34" s="100"/>
      <c r="D34" s="150">
        <f>SUM(C33)</f>
        <v>35000</v>
      </c>
    </row>
    <row r="35" spans="2:7" ht="15" x14ac:dyDescent="0.25">
      <c r="B35" s="98" t="s">
        <v>87</v>
      </c>
      <c r="C35" s="129"/>
      <c r="D35" s="149">
        <f>SUM(D31:D34)</f>
        <v>317948.62</v>
      </c>
    </row>
    <row r="36" spans="2:7" s="7" customFormat="1" ht="18.75" customHeight="1" x14ac:dyDescent="0.25">
      <c r="B36" s="104" t="s">
        <v>88</v>
      </c>
      <c r="C36" s="105"/>
      <c r="D36" s="151">
        <f>D21 + D35</f>
        <v>552177.41613000014</v>
      </c>
      <c r="E36" s="239"/>
    </row>
    <row r="37" spans="2:7" ht="15" x14ac:dyDescent="0.25">
      <c r="B37" s="106"/>
      <c r="C37" s="107"/>
      <c r="D37" s="95"/>
    </row>
    <row r="38" spans="2:7" ht="15" x14ac:dyDescent="0.25">
      <c r="B38" s="108" t="s">
        <v>89</v>
      </c>
      <c r="C38" s="109"/>
      <c r="D38" s="110"/>
    </row>
    <row r="39" spans="2:7" ht="15" x14ac:dyDescent="0.25">
      <c r="B39" s="152" t="s">
        <v>101</v>
      </c>
      <c r="C39" s="88">
        <v>95057</v>
      </c>
      <c r="D39" s="89"/>
    </row>
    <row r="40" spans="2:7" ht="15" x14ac:dyDescent="0.25">
      <c r="B40" s="152" t="s">
        <v>123</v>
      </c>
      <c r="C40" s="111">
        <v>4087</v>
      </c>
      <c r="D40" s="112"/>
    </row>
    <row r="41" spans="2:7" ht="15" x14ac:dyDescent="0.25">
      <c r="B41" s="152" t="s">
        <v>124</v>
      </c>
      <c r="C41" s="111">
        <v>3003</v>
      </c>
      <c r="D41" s="112"/>
    </row>
    <row r="42" spans="2:7" ht="15" x14ac:dyDescent="0.25">
      <c r="B42" s="92" t="s">
        <v>102</v>
      </c>
      <c r="C42" s="113">
        <v>55000</v>
      </c>
      <c r="D42" s="114"/>
    </row>
    <row r="43" spans="2:7" ht="15" x14ac:dyDescent="0.25">
      <c r="B43" s="92" t="s">
        <v>90</v>
      </c>
      <c r="C43" s="113">
        <v>-50000</v>
      </c>
      <c r="D43" s="114"/>
    </row>
    <row r="44" spans="2:7" ht="15" x14ac:dyDescent="0.25">
      <c r="B44" s="152" t="s">
        <v>91</v>
      </c>
      <c r="C44" s="111">
        <v>6087</v>
      </c>
      <c r="D44" s="112"/>
    </row>
    <row r="45" spans="2:7" ht="15" x14ac:dyDescent="0.25">
      <c r="B45" s="152" t="s">
        <v>125</v>
      </c>
      <c r="C45" s="111">
        <v>12087</v>
      </c>
      <c r="D45" s="112"/>
      <c r="E45" s="35"/>
    </row>
    <row r="46" spans="2:7" ht="15" x14ac:dyDescent="0.25">
      <c r="B46" s="98" t="s">
        <v>109</v>
      </c>
      <c r="C46" s="153"/>
      <c r="D46" s="154">
        <f>SUM(C39:C45)</f>
        <v>125321</v>
      </c>
    </row>
    <row r="47" spans="2:7" ht="15" x14ac:dyDescent="0.25">
      <c r="B47" s="87" t="s">
        <v>348</v>
      </c>
      <c r="C47" s="113">
        <v>12778</v>
      </c>
      <c r="D47" s="114"/>
      <c r="E47" s="8"/>
      <c r="F47" s="8"/>
      <c r="G47" s="8"/>
    </row>
    <row r="48" spans="2:7" ht="15" x14ac:dyDescent="0.25">
      <c r="B48" s="87" t="s">
        <v>127</v>
      </c>
      <c r="C48" s="113">
        <v>163374</v>
      </c>
      <c r="D48" s="114"/>
      <c r="E48" s="8"/>
      <c r="F48" s="8"/>
      <c r="G48" s="8"/>
    </row>
    <row r="49" spans="2:4" ht="15" x14ac:dyDescent="0.25">
      <c r="B49" s="87" t="s">
        <v>126</v>
      </c>
      <c r="C49" s="113">
        <v>64866</v>
      </c>
      <c r="D49" s="114"/>
    </row>
    <row r="50" spans="2:4" ht="15" x14ac:dyDescent="0.25">
      <c r="B50" s="98" t="s">
        <v>92</v>
      </c>
      <c r="C50" s="115"/>
      <c r="D50" s="154">
        <f>SUM(C47:C48)</f>
        <v>176152</v>
      </c>
    </row>
    <row r="51" spans="2:4" ht="15" x14ac:dyDescent="0.25">
      <c r="B51" s="116" t="s">
        <v>93</v>
      </c>
      <c r="C51" s="117"/>
      <c r="D51" s="118">
        <f>D46+D50</f>
        <v>301473</v>
      </c>
    </row>
    <row r="52" spans="2:4" ht="17.100000000000001" customHeight="1" x14ac:dyDescent="0.25">
      <c r="B52" s="119" t="s">
        <v>94</v>
      </c>
      <c r="C52" s="120"/>
      <c r="D52" s="121"/>
    </row>
    <row r="53" spans="2:4" ht="15" x14ac:dyDescent="0.25">
      <c r="B53" s="155" t="s">
        <v>0</v>
      </c>
      <c r="C53" s="113"/>
      <c r="D53" s="114"/>
    </row>
    <row r="54" spans="2:4" ht="15" x14ac:dyDescent="0.25">
      <c r="B54" s="92" t="s">
        <v>128</v>
      </c>
      <c r="C54" s="102">
        <v>75000</v>
      </c>
      <c r="D54" s="103"/>
    </row>
    <row r="55" spans="2:4" ht="15" x14ac:dyDescent="0.25">
      <c r="B55" s="92" t="s">
        <v>103</v>
      </c>
      <c r="C55" s="102">
        <v>75000</v>
      </c>
      <c r="D55" s="103"/>
    </row>
    <row r="56" spans="2:4" ht="15" x14ac:dyDescent="0.25">
      <c r="B56" s="156" t="s">
        <v>180</v>
      </c>
      <c r="C56" s="94"/>
      <c r="D56" s="103"/>
    </row>
    <row r="57" spans="2:4" x14ac:dyDescent="0.3">
      <c r="B57" s="157" t="s">
        <v>96</v>
      </c>
      <c r="C57" s="94"/>
      <c r="D57" s="158">
        <f>SUM(C54:C56)</f>
        <v>150000</v>
      </c>
    </row>
    <row r="58" spans="2:4" x14ac:dyDescent="0.3">
      <c r="B58" s="92" t="s">
        <v>181</v>
      </c>
      <c r="C58" s="159">
        <f>'Income Statement'!C77</f>
        <v>63978.065274999943</v>
      </c>
      <c r="D58" s="91"/>
    </row>
    <row r="59" spans="2:4" x14ac:dyDescent="0.3">
      <c r="B59" s="92" t="s">
        <v>355</v>
      </c>
      <c r="C59" s="102">
        <v>-305000</v>
      </c>
      <c r="D59" s="103"/>
    </row>
    <row r="60" spans="2:4" x14ac:dyDescent="0.3">
      <c r="B60" s="92" t="s">
        <v>356</v>
      </c>
      <c r="C60" s="102">
        <v>-305000</v>
      </c>
      <c r="D60" s="103"/>
    </row>
    <row r="61" spans="2:4" x14ac:dyDescent="0.3">
      <c r="B61" s="92" t="s">
        <v>95</v>
      </c>
      <c r="C61" s="102">
        <f>D36-D51-D57-C58-C59-C60</f>
        <v>646726.3508550002</v>
      </c>
      <c r="D61" s="103"/>
    </row>
    <row r="62" spans="2:4" x14ac:dyDescent="0.3">
      <c r="B62" s="157" t="s">
        <v>129</v>
      </c>
      <c r="C62" s="102"/>
      <c r="D62" s="158">
        <f>SUM(C58:C61)</f>
        <v>100704.41613000014</v>
      </c>
    </row>
    <row r="63" spans="2:4" x14ac:dyDescent="0.3">
      <c r="B63" s="122" t="s">
        <v>178</v>
      </c>
      <c r="C63" s="123"/>
      <c r="D63" s="118">
        <f>SUM(D57:D62)</f>
        <v>250704.41613000014</v>
      </c>
    </row>
    <row r="64" spans="2:4" x14ac:dyDescent="0.3">
      <c r="B64" s="124"/>
      <c r="C64" s="113"/>
      <c r="D64" s="114"/>
    </row>
    <row r="65" spans="2:5" x14ac:dyDescent="0.3">
      <c r="B65" s="125" t="s">
        <v>179</v>
      </c>
      <c r="C65" s="126"/>
      <c r="D65" s="126">
        <f>D51 + D63</f>
        <v>552177.41613000014</v>
      </c>
    </row>
    <row r="66" spans="2:5" ht="15" thickBot="1" x14ac:dyDescent="0.35">
      <c r="B66" s="127" t="s">
        <v>97</v>
      </c>
      <c r="C66" s="128"/>
      <c r="D66" s="128">
        <f>D36</f>
        <v>552177.41613000014</v>
      </c>
      <c r="E66" s="35"/>
    </row>
    <row r="67" spans="2:5" x14ac:dyDescent="0.3">
      <c r="B67" s="4"/>
    </row>
    <row r="68" spans="2:5" x14ac:dyDescent="0.3">
      <c r="B68" s="2"/>
      <c r="E68" s="35"/>
    </row>
    <row r="69" spans="2:5" x14ac:dyDescent="0.3">
      <c r="B69" s="2"/>
    </row>
    <row r="70" spans="2:5" x14ac:dyDescent="0.3">
      <c r="B70" s="2"/>
    </row>
    <row r="71" spans="2:5" x14ac:dyDescent="0.3">
      <c r="B71" s="2"/>
    </row>
  </sheetData>
  <mergeCells count="6">
    <mergeCell ref="E11:F11"/>
    <mergeCell ref="B1:D1"/>
    <mergeCell ref="B3:D3"/>
    <mergeCell ref="B4:D4"/>
    <mergeCell ref="E5:F5"/>
    <mergeCell ref="B5:D5"/>
  </mergeCells>
  <pageMargins left="0.7" right="0.7" top="0.75" bottom="0.75" header="0.3" footer="0.3"/>
  <pageSetup paperSize="9" scale="7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B8" sqref="B8"/>
    </sheetView>
  </sheetViews>
  <sheetFormatPr defaultRowHeight="14.4" x14ac:dyDescent="0.3"/>
  <cols>
    <col min="2" max="2" width="20.88671875" customWidth="1"/>
    <col min="3" max="3" width="13.88671875" customWidth="1"/>
    <col min="4" max="4" width="18.6640625" customWidth="1"/>
    <col min="5" max="5" width="22.33203125" customWidth="1"/>
    <col min="8" max="8" width="13.44140625" customWidth="1"/>
  </cols>
  <sheetData>
    <row r="1" spans="1:8" ht="15" x14ac:dyDescent="0.25">
      <c r="A1" t="s">
        <v>280</v>
      </c>
      <c r="E1" t="s">
        <v>346</v>
      </c>
      <c r="F1" s="1"/>
    </row>
    <row r="2" spans="1:8" ht="15" x14ac:dyDescent="0.25">
      <c r="A2" s="314"/>
      <c r="B2" s="314" t="s">
        <v>265</v>
      </c>
      <c r="C2" s="314"/>
      <c r="D2" s="314"/>
      <c r="E2" s="314" t="s">
        <v>347</v>
      </c>
      <c r="F2" s="315"/>
      <c r="G2" s="314"/>
      <c r="H2" s="314"/>
    </row>
    <row r="3" spans="1:8" ht="15" x14ac:dyDescent="0.25">
      <c r="A3" s="314"/>
      <c r="B3" s="314" t="s">
        <v>266</v>
      </c>
      <c r="C3" s="113">
        <v>163374</v>
      </c>
      <c r="D3" s="314"/>
      <c r="E3" s="314"/>
      <c r="F3" s="315"/>
      <c r="G3" s="314"/>
      <c r="H3" s="314"/>
    </row>
    <row r="4" spans="1:8" ht="15" x14ac:dyDescent="0.25">
      <c r="A4" s="314"/>
      <c r="B4" s="314" t="s">
        <v>267</v>
      </c>
      <c r="C4" s="316">
        <f>D4/12</f>
        <v>5.5750000000000001E-3</v>
      </c>
      <c r="D4" s="317">
        <v>6.6900000000000001E-2</v>
      </c>
      <c r="E4" s="314" t="s">
        <v>281</v>
      </c>
      <c r="F4" s="315"/>
      <c r="G4" s="314"/>
      <c r="H4" s="314"/>
    </row>
    <row r="5" spans="1:8" ht="15" x14ac:dyDescent="0.25">
      <c r="A5" s="314"/>
      <c r="B5" s="314" t="s">
        <v>269</v>
      </c>
      <c r="C5" s="318">
        <v>48</v>
      </c>
      <c r="D5" s="314" t="s">
        <v>270</v>
      </c>
      <c r="E5" s="314"/>
      <c r="F5" s="315"/>
      <c r="G5" s="314" t="s">
        <v>272</v>
      </c>
      <c r="H5" s="314"/>
    </row>
    <row r="6" spans="1:8" ht="15" x14ac:dyDescent="0.25">
      <c r="A6" s="314"/>
      <c r="B6" s="314" t="s">
        <v>271</v>
      </c>
      <c r="C6" s="319">
        <f>PMT(C4,C5,C3)</f>
        <v>-3888.739496103391</v>
      </c>
      <c r="D6" s="320"/>
      <c r="E6" s="314"/>
      <c r="F6" s="315"/>
      <c r="G6" s="381">
        <v>42186</v>
      </c>
      <c r="H6" s="314"/>
    </row>
    <row r="7" spans="1:8" ht="15" x14ac:dyDescent="0.25">
      <c r="A7" s="314"/>
      <c r="B7" s="315" t="s">
        <v>273</v>
      </c>
      <c r="C7" s="315" t="s">
        <v>274</v>
      </c>
      <c r="D7" s="315" t="s">
        <v>275</v>
      </c>
      <c r="E7" s="315" t="s">
        <v>276</v>
      </c>
      <c r="F7" s="315"/>
      <c r="G7" s="315" t="s">
        <v>277</v>
      </c>
      <c r="H7" s="314"/>
    </row>
    <row r="8" spans="1:8" ht="15" x14ac:dyDescent="0.25">
      <c r="A8" s="314">
        <v>1</v>
      </c>
      <c r="B8" s="319">
        <f>+C3</f>
        <v>163374</v>
      </c>
      <c r="C8" s="319">
        <f t="shared" ref="C8:C55" si="0">+B8*$C$4</f>
        <v>910.81005000000005</v>
      </c>
      <c r="D8" s="319">
        <f t="shared" ref="D8:D55" si="1">-$C$6-C8</f>
        <v>2977.929446103391</v>
      </c>
      <c r="E8" s="319">
        <f>IF((+B8-D8)&lt;0,0,B8-D8)</f>
        <v>160396.0705538966</v>
      </c>
      <c r="F8" s="321" t="s">
        <v>289</v>
      </c>
      <c r="G8" s="314">
        <v>2015</v>
      </c>
      <c r="H8" s="314"/>
    </row>
    <row r="9" spans="1:8" ht="15" x14ac:dyDescent="0.25">
      <c r="A9" s="314">
        <v>2</v>
      </c>
      <c r="B9" s="319">
        <f t="shared" ref="B9:B22" si="2">+E8</f>
        <v>160396.0705538966</v>
      </c>
      <c r="C9" s="319">
        <f t="shared" si="0"/>
        <v>894.20809333797354</v>
      </c>
      <c r="D9" s="319">
        <f t="shared" si="1"/>
        <v>2994.5314027654176</v>
      </c>
      <c r="E9" s="319">
        <f t="shared" ref="E9:E55" si="3">IF((+B9-D9)&lt;0,0,B9-D9)</f>
        <v>157401.53915113118</v>
      </c>
      <c r="F9" s="321" t="s">
        <v>290</v>
      </c>
      <c r="G9" s="314">
        <v>2015</v>
      </c>
      <c r="H9" s="314"/>
    </row>
    <row r="10" spans="1:8" ht="15" x14ac:dyDescent="0.25">
      <c r="A10" s="314">
        <v>3</v>
      </c>
      <c r="B10" s="319">
        <f t="shared" si="2"/>
        <v>157401.53915113118</v>
      </c>
      <c r="C10" s="319">
        <f t="shared" si="0"/>
        <v>877.51358076755628</v>
      </c>
      <c r="D10" s="319">
        <f t="shared" si="1"/>
        <v>3011.2259153358345</v>
      </c>
      <c r="E10" s="319">
        <f t="shared" si="3"/>
        <v>154390.31323579533</v>
      </c>
      <c r="F10" s="321" t="s">
        <v>291</v>
      </c>
      <c r="G10" s="314">
        <v>2015</v>
      </c>
      <c r="H10" s="314"/>
    </row>
    <row r="11" spans="1:8" ht="15" x14ac:dyDescent="0.25">
      <c r="A11" s="314">
        <v>4</v>
      </c>
      <c r="B11" s="319">
        <f t="shared" si="2"/>
        <v>154390.31323579533</v>
      </c>
      <c r="C11" s="319">
        <f t="shared" si="0"/>
        <v>860.72599628955902</v>
      </c>
      <c r="D11" s="319">
        <f t="shared" si="1"/>
        <v>3028.0134998138319</v>
      </c>
      <c r="E11" s="319">
        <f t="shared" si="3"/>
        <v>151362.29973598151</v>
      </c>
      <c r="F11" s="321" t="s">
        <v>292</v>
      </c>
      <c r="G11" s="314">
        <v>2015</v>
      </c>
      <c r="H11" s="314"/>
    </row>
    <row r="12" spans="1:8" ht="15" x14ac:dyDescent="0.25">
      <c r="A12" s="314">
        <v>5</v>
      </c>
      <c r="B12" s="319">
        <f t="shared" si="2"/>
        <v>151362.29973598151</v>
      </c>
      <c r="C12" s="319">
        <f t="shared" si="0"/>
        <v>843.84482102809693</v>
      </c>
      <c r="D12" s="319">
        <f t="shared" si="1"/>
        <v>3044.8946750752939</v>
      </c>
      <c r="E12" s="319">
        <f t="shared" si="3"/>
        <v>148317.40506090623</v>
      </c>
      <c r="F12" s="321" t="s">
        <v>293</v>
      </c>
      <c r="G12" s="314">
        <v>2015</v>
      </c>
      <c r="H12" s="314"/>
    </row>
    <row r="13" spans="1:8" ht="15" x14ac:dyDescent="0.25">
      <c r="A13" s="314">
        <v>6</v>
      </c>
      <c r="B13" s="319">
        <f t="shared" si="2"/>
        <v>148317.40506090623</v>
      </c>
      <c r="C13" s="319">
        <f t="shared" si="0"/>
        <v>826.86953321455223</v>
      </c>
      <c r="D13" s="319">
        <f t="shared" si="1"/>
        <v>3061.8699628888389</v>
      </c>
      <c r="E13" s="319">
        <f t="shared" si="3"/>
        <v>145255.5350980174</v>
      </c>
      <c r="F13" s="321" t="s">
        <v>282</v>
      </c>
      <c r="G13" s="314">
        <v>2015</v>
      </c>
      <c r="H13" s="314"/>
    </row>
    <row r="14" spans="1:8" ht="15" x14ac:dyDescent="0.25">
      <c r="A14" s="314">
        <v>7</v>
      </c>
      <c r="B14" s="319">
        <f t="shared" si="2"/>
        <v>145255.5350980174</v>
      </c>
      <c r="C14" s="319">
        <f t="shared" si="0"/>
        <v>809.79960817144695</v>
      </c>
      <c r="D14" s="319">
        <f t="shared" si="1"/>
        <v>3078.9398879319442</v>
      </c>
      <c r="E14" s="319">
        <f t="shared" si="3"/>
        <v>142176.59521008545</v>
      </c>
      <c r="F14" s="321" t="s">
        <v>294</v>
      </c>
      <c r="G14" s="314">
        <v>2016</v>
      </c>
      <c r="H14" s="314"/>
    </row>
    <row r="15" spans="1:8" ht="15" x14ac:dyDescent="0.25">
      <c r="A15" s="314">
        <v>8</v>
      </c>
      <c r="B15" s="319">
        <f t="shared" si="2"/>
        <v>142176.59521008545</v>
      </c>
      <c r="C15" s="319">
        <f t="shared" si="0"/>
        <v>792.63451829622636</v>
      </c>
      <c r="D15" s="319">
        <f t="shared" si="1"/>
        <v>3096.1049778071647</v>
      </c>
      <c r="E15" s="319">
        <f t="shared" si="3"/>
        <v>139080.49023227827</v>
      </c>
      <c r="F15" s="321" t="s">
        <v>284</v>
      </c>
      <c r="G15" s="314">
        <v>2016</v>
      </c>
      <c r="H15" s="314"/>
    </row>
    <row r="16" spans="1:8" ht="15" x14ac:dyDescent="0.25">
      <c r="A16" s="314">
        <v>9</v>
      </c>
      <c r="B16" s="319">
        <f t="shared" si="2"/>
        <v>139080.49023227827</v>
      </c>
      <c r="C16" s="319">
        <f t="shared" si="0"/>
        <v>775.37373304495134</v>
      </c>
      <c r="D16" s="319">
        <f t="shared" si="1"/>
        <v>3113.3657630584398</v>
      </c>
      <c r="E16" s="319">
        <f t="shared" si="3"/>
        <v>135967.12446921982</v>
      </c>
      <c r="F16" s="321" t="s">
        <v>285</v>
      </c>
      <c r="G16" s="314">
        <v>2016</v>
      </c>
      <c r="H16" s="314"/>
    </row>
    <row r="17" spans="1:8" ht="15" x14ac:dyDescent="0.25">
      <c r="A17" s="314">
        <v>10</v>
      </c>
      <c r="B17" s="319">
        <f t="shared" si="2"/>
        <v>135967.12446921982</v>
      </c>
      <c r="C17" s="319">
        <f t="shared" si="0"/>
        <v>758.01671891590058</v>
      </c>
      <c r="D17" s="319">
        <f t="shared" si="1"/>
        <v>3130.7227771874905</v>
      </c>
      <c r="E17" s="319">
        <f t="shared" si="3"/>
        <v>132836.40169203232</v>
      </c>
      <c r="F17" s="321" t="s">
        <v>286</v>
      </c>
      <c r="G17" s="314">
        <v>2016</v>
      </c>
      <c r="H17" s="314"/>
    </row>
    <row r="18" spans="1:8" ht="15" x14ac:dyDescent="0.25">
      <c r="A18" s="314">
        <v>11</v>
      </c>
      <c r="B18" s="319">
        <f t="shared" si="2"/>
        <v>132836.40169203232</v>
      </c>
      <c r="C18" s="319">
        <f t="shared" si="0"/>
        <v>740.56293943308015</v>
      </c>
      <c r="D18" s="319">
        <f t="shared" si="1"/>
        <v>3148.1765566703107</v>
      </c>
      <c r="E18" s="319">
        <f t="shared" si="3"/>
        <v>129688.22513536201</v>
      </c>
      <c r="F18" s="321" t="s">
        <v>287</v>
      </c>
      <c r="G18" s="314">
        <v>2016</v>
      </c>
      <c r="H18" s="314"/>
    </row>
    <row r="19" spans="1:8" ht="15" x14ac:dyDescent="0.25">
      <c r="A19" s="314">
        <v>12</v>
      </c>
      <c r="B19" s="319">
        <f t="shared" si="2"/>
        <v>129688.22513536201</v>
      </c>
      <c r="C19" s="319">
        <f t="shared" si="0"/>
        <v>723.01185512964321</v>
      </c>
      <c r="D19" s="319">
        <f t="shared" si="1"/>
        <v>3165.7276409737478</v>
      </c>
      <c r="E19" s="319">
        <f t="shared" si="3"/>
        <v>126522.49749438826</v>
      </c>
      <c r="F19" s="321" t="s">
        <v>288</v>
      </c>
      <c r="G19" s="314">
        <v>2016</v>
      </c>
      <c r="H19" s="314"/>
    </row>
    <row r="20" spans="1:8" ht="15" x14ac:dyDescent="0.25">
      <c r="A20" s="314">
        <v>13</v>
      </c>
      <c r="B20" s="319">
        <f t="shared" si="2"/>
        <v>126522.49749438826</v>
      </c>
      <c r="C20" s="319">
        <f t="shared" si="0"/>
        <v>705.36292353121451</v>
      </c>
      <c r="D20" s="319">
        <f t="shared" si="1"/>
        <v>3183.3765725721764</v>
      </c>
      <c r="E20" s="319">
        <f t="shared" si="3"/>
        <v>123339.12092181608</v>
      </c>
      <c r="F20" s="321" t="s">
        <v>289</v>
      </c>
      <c r="G20" s="314">
        <v>2016</v>
      </c>
      <c r="H20" s="314"/>
    </row>
    <row r="21" spans="1:8" ht="15" x14ac:dyDescent="0.25">
      <c r="A21" s="314">
        <v>14</v>
      </c>
      <c r="B21" s="319">
        <f t="shared" si="2"/>
        <v>123339.12092181608</v>
      </c>
      <c r="C21" s="319">
        <f t="shared" si="0"/>
        <v>687.6155991391247</v>
      </c>
      <c r="D21" s="319">
        <f t="shared" si="1"/>
        <v>3201.1238969642664</v>
      </c>
      <c r="E21" s="319">
        <f t="shared" si="3"/>
        <v>120137.99702485181</v>
      </c>
      <c r="F21" s="321" t="s">
        <v>290</v>
      </c>
      <c r="G21" s="314">
        <v>2016</v>
      </c>
      <c r="H21" s="314"/>
    </row>
    <row r="22" spans="1:8" ht="15" x14ac:dyDescent="0.25">
      <c r="A22" s="314">
        <v>15</v>
      </c>
      <c r="B22" s="319">
        <f t="shared" si="2"/>
        <v>120137.99702485181</v>
      </c>
      <c r="C22" s="319">
        <f t="shared" si="0"/>
        <v>669.76933341354879</v>
      </c>
      <c r="D22" s="319">
        <f t="shared" si="1"/>
        <v>3218.9701626898423</v>
      </c>
      <c r="E22" s="319">
        <f t="shared" si="3"/>
        <v>116919.02686216196</v>
      </c>
      <c r="F22" s="321" t="s">
        <v>291</v>
      </c>
      <c r="G22" s="314">
        <v>2016</v>
      </c>
      <c r="H22" s="314"/>
    </row>
    <row r="23" spans="1:8" ht="15" x14ac:dyDescent="0.25">
      <c r="A23" s="314">
        <v>16</v>
      </c>
      <c r="B23" s="319">
        <f t="shared" ref="B23:B55" si="4">E22</f>
        <v>116919.02686216196</v>
      </c>
      <c r="C23" s="322">
        <f t="shared" si="0"/>
        <v>651.82357475655294</v>
      </c>
      <c r="D23" s="323">
        <f t="shared" si="1"/>
        <v>3236.9159213468383</v>
      </c>
      <c r="E23" s="322">
        <f t="shared" si="3"/>
        <v>113682.11094081512</v>
      </c>
      <c r="F23" s="321" t="s">
        <v>292</v>
      </c>
      <c r="G23" s="314">
        <v>2016</v>
      </c>
      <c r="H23" s="314"/>
    </row>
    <row r="24" spans="1:8" x14ac:dyDescent="0.3">
      <c r="A24" s="314">
        <v>17</v>
      </c>
      <c r="B24" s="319">
        <f t="shared" si="4"/>
        <v>113682.11094081512</v>
      </c>
      <c r="C24" s="322">
        <f t="shared" si="0"/>
        <v>633.77776849504437</v>
      </c>
      <c r="D24" s="323">
        <f t="shared" si="1"/>
        <v>3254.9617276083468</v>
      </c>
      <c r="E24" s="322">
        <f t="shared" si="3"/>
        <v>110427.14921320678</v>
      </c>
      <c r="F24" s="321" t="s">
        <v>293</v>
      </c>
      <c r="G24" s="314">
        <v>2016</v>
      </c>
      <c r="H24" s="314"/>
    </row>
    <row r="25" spans="1:8" x14ac:dyDescent="0.3">
      <c r="A25" s="314">
        <v>18</v>
      </c>
      <c r="B25" s="319">
        <f t="shared" si="4"/>
        <v>110427.14921320678</v>
      </c>
      <c r="C25" s="322">
        <f t="shared" si="0"/>
        <v>615.63135686362784</v>
      </c>
      <c r="D25" s="323">
        <f t="shared" si="1"/>
        <v>3273.1081392397632</v>
      </c>
      <c r="E25" s="322">
        <f t="shared" si="3"/>
        <v>107154.04107396702</v>
      </c>
      <c r="F25" s="321" t="s">
        <v>282</v>
      </c>
      <c r="G25" s="314">
        <v>2016</v>
      </c>
      <c r="H25" s="314"/>
    </row>
    <row r="26" spans="1:8" x14ac:dyDescent="0.3">
      <c r="A26" s="314">
        <v>19</v>
      </c>
      <c r="B26" s="319">
        <f t="shared" si="4"/>
        <v>107154.04107396702</v>
      </c>
      <c r="C26" s="322">
        <f t="shared" si="0"/>
        <v>597.3837789873661</v>
      </c>
      <c r="D26" s="323">
        <f t="shared" si="1"/>
        <v>3291.3557171160251</v>
      </c>
      <c r="E26" s="322">
        <f t="shared" si="3"/>
        <v>103862.685356851</v>
      </c>
      <c r="F26" s="324" t="s">
        <v>283</v>
      </c>
      <c r="G26" s="314">
        <v>2017</v>
      </c>
      <c r="H26" s="314"/>
    </row>
    <row r="27" spans="1:8" x14ac:dyDescent="0.3">
      <c r="A27" s="314">
        <v>20</v>
      </c>
      <c r="B27" s="319">
        <f t="shared" si="4"/>
        <v>103862.685356851</v>
      </c>
      <c r="C27" s="322">
        <f t="shared" si="0"/>
        <v>579.0344708644443</v>
      </c>
      <c r="D27" s="323">
        <f t="shared" si="1"/>
        <v>3309.7050252389467</v>
      </c>
      <c r="E27" s="322">
        <f t="shared" si="3"/>
        <v>100552.98033161205</v>
      </c>
      <c r="F27" s="324" t="s">
        <v>284</v>
      </c>
      <c r="G27" s="314">
        <v>2017</v>
      </c>
      <c r="H27" s="314"/>
    </row>
    <row r="28" spans="1:8" x14ac:dyDescent="0.3">
      <c r="A28" s="314">
        <v>21</v>
      </c>
      <c r="B28" s="319">
        <f t="shared" si="4"/>
        <v>100552.98033161205</v>
      </c>
      <c r="C28" s="322">
        <f t="shared" si="0"/>
        <v>560.58286534873719</v>
      </c>
      <c r="D28" s="323">
        <f t="shared" si="1"/>
        <v>3328.1566307546536</v>
      </c>
      <c r="E28" s="322">
        <f t="shared" si="3"/>
        <v>97224.823700857392</v>
      </c>
      <c r="F28" s="324" t="s">
        <v>340</v>
      </c>
      <c r="G28" s="314">
        <v>2017</v>
      </c>
      <c r="H28" s="314"/>
    </row>
    <row r="29" spans="1:8" x14ac:dyDescent="0.3">
      <c r="A29" s="314">
        <v>22</v>
      </c>
      <c r="B29" s="319">
        <f t="shared" si="4"/>
        <v>97224.823700857392</v>
      </c>
      <c r="C29" s="322">
        <f t="shared" si="0"/>
        <v>542.02839213227992</v>
      </c>
      <c r="D29" s="323">
        <f t="shared" si="1"/>
        <v>3346.7111039711112</v>
      </c>
      <c r="E29" s="322">
        <f t="shared" si="3"/>
        <v>93878.112596886276</v>
      </c>
      <c r="F29" s="324" t="s">
        <v>341</v>
      </c>
      <c r="G29" s="314">
        <v>2017</v>
      </c>
      <c r="H29" s="314"/>
    </row>
    <row r="30" spans="1:8" x14ac:dyDescent="0.3">
      <c r="A30" s="314">
        <v>23</v>
      </c>
      <c r="B30" s="319">
        <f t="shared" si="4"/>
        <v>93878.112596886276</v>
      </c>
      <c r="C30" s="322">
        <f t="shared" si="0"/>
        <v>523.37047772764095</v>
      </c>
      <c r="D30" s="323">
        <f t="shared" si="1"/>
        <v>3365.3690183757499</v>
      </c>
      <c r="E30" s="322">
        <f t="shared" si="3"/>
        <v>90512.743578510534</v>
      </c>
      <c r="F30" s="321" t="s">
        <v>287</v>
      </c>
      <c r="G30" s="314">
        <v>2017</v>
      </c>
      <c r="H30" s="314"/>
    </row>
    <row r="31" spans="1:8" x14ac:dyDescent="0.3">
      <c r="A31" s="314">
        <v>24</v>
      </c>
      <c r="B31" s="319">
        <f t="shared" si="4"/>
        <v>90512.743578510534</v>
      </c>
      <c r="C31" s="322">
        <f t="shared" si="0"/>
        <v>504.60854545019623</v>
      </c>
      <c r="D31" s="323">
        <f t="shared" si="1"/>
        <v>3384.1309506531948</v>
      </c>
      <c r="E31" s="322">
        <f t="shared" si="3"/>
        <v>87128.612627857336</v>
      </c>
      <c r="F31" s="321" t="s">
        <v>288</v>
      </c>
      <c r="G31" s="314">
        <v>2017</v>
      </c>
      <c r="H31" s="314"/>
    </row>
    <row r="32" spans="1:8" x14ac:dyDescent="0.3">
      <c r="A32" s="314">
        <v>25</v>
      </c>
      <c r="B32" s="319">
        <f t="shared" si="4"/>
        <v>87128.612627857336</v>
      </c>
      <c r="C32" s="322">
        <f t="shared" si="0"/>
        <v>485.74201540030464</v>
      </c>
      <c r="D32" s="323">
        <f t="shared" si="1"/>
        <v>3402.9974807030862</v>
      </c>
      <c r="E32" s="322">
        <f t="shared" si="3"/>
        <v>83725.615147154254</v>
      </c>
      <c r="F32" s="321" t="s">
        <v>289</v>
      </c>
      <c r="G32" s="314">
        <v>2017</v>
      </c>
      <c r="H32" s="314"/>
    </row>
    <row r="33" spans="1:8" x14ac:dyDescent="0.3">
      <c r="A33" s="314">
        <v>26</v>
      </c>
      <c r="B33" s="319">
        <f t="shared" si="4"/>
        <v>83725.615147154254</v>
      </c>
      <c r="C33" s="322">
        <f t="shared" si="0"/>
        <v>466.77030444538497</v>
      </c>
      <c r="D33" s="323">
        <f t="shared" si="1"/>
        <v>3421.9691916580059</v>
      </c>
      <c r="E33" s="322">
        <f t="shared" si="3"/>
        <v>80303.645955496249</v>
      </c>
      <c r="F33" s="321" t="s">
        <v>290</v>
      </c>
      <c r="G33" s="314">
        <v>2017</v>
      </c>
      <c r="H33" s="314"/>
    </row>
    <row r="34" spans="1:8" x14ac:dyDescent="0.3">
      <c r="A34" s="314">
        <v>27</v>
      </c>
      <c r="B34" s="319">
        <f t="shared" si="4"/>
        <v>80303.645955496249</v>
      </c>
      <c r="C34" s="322">
        <f t="shared" si="0"/>
        <v>447.69282620189159</v>
      </c>
      <c r="D34" s="323">
        <f t="shared" si="1"/>
        <v>3441.0466699014996</v>
      </c>
      <c r="E34" s="322">
        <f t="shared" si="3"/>
        <v>76862.599285594755</v>
      </c>
      <c r="F34" s="321" t="s">
        <v>291</v>
      </c>
      <c r="G34" s="314">
        <v>2017</v>
      </c>
      <c r="H34" s="314"/>
    </row>
    <row r="35" spans="1:8" x14ac:dyDescent="0.3">
      <c r="A35" s="314">
        <v>28</v>
      </c>
      <c r="B35" s="319">
        <f t="shared" si="4"/>
        <v>76862.599285594755</v>
      </c>
      <c r="C35" s="322">
        <f t="shared" si="0"/>
        <v>428.50899101719079</v>
      </c>
      <c r="D35" s="323">
        <f t="shared" si="1"/>
        <v>3460.2305050862001</v>
      </c>
      <c r="E35" s="322">
        <f t="shared" si="3"/>
        <v>73402.36878050855</v>
      </c>
      <c r="F35" s="321" t="s">
        <v>292</v>
      </c>
      <c r="G35" s="314">
        <v>2017</v>
      </c>
      <c r="H35" s="314"/>
    </row>
    <row r="36" spans="1:8" x14ac:dyDescent="0.3">
      <c r="A36" s="314">
        <v>29</v>
      </c>
      <c r="B36" s="319">
        <f t="shared" si="4"/>
        <v>73402.36878050855</v>
      </c>
      <c r="C36" s="322">
        <f t="shared" si="0"/>
        <v>409.21820595133516</v>
      </c>
      <c r="D36" s="323">
        <f t="shared" si="1"/>
        <v>3479.5212901520558</v>
      </c>
      <c r="E36" s="322">
        <f t="shared" si="3"/>
        <v>69922.847490356493</v>
      </c>
      <c r="F36" s="321" t="s">
        <v>293</v>
      </c>
      <c r="G36" s="314">
        <v>2017</v>
      </c>
      <c r="H36" s="314"/>
    </row>
    <row r="37" spans="1:8" x14ac:dyDescent="0.3">
      <c r="A37" s="314">
        <v>30</v>
      </c>
      <c r="B37" s="319">
        <f t="shared" si="4"/>
        <v>69922.847490356493</v>
      </c>
      <c r="C37" s="322">
        <f t="shared" si="0"/>
        <v>389.81987475873746</v>
      </c>
      <c r="D37" s="323">
        <f t="shared" si="1"/>
        <v>3498.9196213446535</v>
      </c>
      <c r="E37" s="322">
        <f t="shared" si="3"/>
        <v>66423.927869011837</v>
      </c>
      <c r="F37" s="321" t="s">
        <v>282</v>
      </c>
      <c r="G37" s="314">
        <v>2017</v>
      </c>
      <c r="H37" s="314"/>
    </row>
    <row r="38" spans="1:8" x14ac:dyDescent="0.3">
      <c r="A38" s="314">
        <v>31</v>
      </c>
      <c r="B38" s="319">
        <f t="shared" si="4"/>
        <v>66423.927869011837</v>
      </c>
      <c r="C38" s="322">
        <f t="shared" si="0"/>
        <v>370.31339786974098</v>
      </c>
      <c r="D38" s="323">
        <f t="shared" si="1"/>
        <v>3518.42609823365</v>
      </c>
      <c r="E38" s="322">
        <f t="shared" si="3"/>
        <v>62905.501770778188</v>
      </c>
      <c r="F38" s="324" t="s">
        <v>283</v>
      </c>
      <c r="G38" s="314">
        <v>2018</v>
      </c>
      <c r="H38" s="314"/>
    </row>
    <row r="39" spans="1:8" x14ac:dyDescent="0.3">
      <c r="A39" s="314">
        <v>32</v>
      </c>
      <c r="B39" s="319">
        <f t="shared" si="4"/>
        <v>62905.501770778188</v>
      </c>
      <c r="C39" s="322">
        <f t="shared" si="0"/>
        <v>350.69817237208838</v>
      </c>
      <c r="D39" s="323">
        <f t="shared" si="1"/>
        <v>3538.0413237313028</v>
      </c>
      <c r="E39" s="322">
        <f t="shared" si="3"/>
        <v>59367.460447046884</v>
      </c>
      <c r="F39" s="324" t="s">
        <v>284</v>
      </c>
      <c r="G39" s="314">
        <v>2018</v>
      </c>
      <c r="H39" s="314"/>
    </row>
    <row r="40" spans="1:8" x14ac:dyDescent="0.3">
      <c r="A40" s="314">
        <v>33</v>
      </c>
      <c r="B40" s="319">
        <f t="shared" si="4"/>
        <v>59367.460447046884</v>
      </c>
      <c r="C40" s="322">
        <f t="shared" si="0"/>
        <v>330.9735919922864</v>
      </c>
      <c r="D40" s="323">
        <f t="shared" si="1"/>
        <v>3557.7659041111046</v>
      </c>
      <c r="E40" s="322">
        <f t="shared" si="3"/>
        <v>55809.69454293578</v>
      </c>
      <c r="F40" s="324" t="s">
        <v>340</v>
      </c>
      <c r="G40" s="314">
        <v>2018</v>
      </c>
      <c r="H40" s="314"/>
    </row>
    <row r="41" spans="1:8" x14ac:dyDescent="0.3">
      <c r="A41" s="314">
        <v>34</v>
      </c>
      <c r="B41" s="319">
        <f t="shared" si="4"/>
        <v>55809.69454293578</v>
      </c>
      <c r="C41" s="322">
        <f t="shared" si="0"/>
        <v>311.13904707686697</v>
      </c>
      <c r="D41" s="323">
        <f t="shared" si="1"/>
        <v>3577.6004490265241</v>
      </c>
      <c r="E41" s="322">
        <f t="shared" si="3"/>
        <v>52232.094093909254</v>
      </c>
      <c r="F41" s="324" t="s">
        <v>341</v>
      </c>
      <c r="G41" s="314">
        <v>2018</v>
      </c>
      <c r="H41" s="314"/>
    </row>
    <row r="42" spans="1:8" x14ac:dyDescent="0.3">
      <c r="A42" s="314">
        <v>35</v>
      </c>
      <c r="B42" s="319">
        <f t="shared" si="4"/>
        <v>52232.094093909254</v>
      </c>
      <c r="C42" s="322">
        <f t="shared" si="0"/>
        <v>291.19392457354411</v>
      </c>
      <c r="D42" s="323">
        <f t="shared" si="1"/>
        <v>3597.5455715298467</v>
      </c>
      <c r="E42" s="322">
        <f t="shared" si="3"/>
        <v>48634.548522379409</v>
      </c>
      <c r="F42" s="324" t="s">
        <v>287</v>
      </c>
      <c r="G42" s="314">
        <v>2018</v>
      </c>
      <c r="H42" s="314"/>
    </row>
    <row r="43" spans="1:8" x14ac:dyDescent="0.3">
      <c r="A43" s="314">
        <v>36</v>
      </c>
      <c r="B43" s="319">
        <f t="shared" si="4"/>
        <v>48634.548522379409</v>
      </c>
      <c r="C43" s="322">
        <f t="shared" si="0"/>
        <v>271.13760801226522</v>
      </c>
      <c r="D43" s="323">
        <f t="shared" si="1"/>
        <v>3617.6018880911261</v>
      </c>
      <c r="E43" s="322">
        <f t="shared" si="3"/>
        <v>45016.946634288281</v>
      </c>
      <c r="F43" s="324" t="s">
        <v>342</v>
      </c>
      <c r="G43" s="314">
        <v>2018</v>
      </c>
      <c r="H43" s="314"/>
    </row>
    <row r="44" spans="1:8" x14ac:dyDescent="0.3">
      <c r="A44" s="314">
        <v>37</v>
      </c>
      <c r="B44" s="319">
        <f t="shared" si="4"/>
        <v>45016.946634288281</v>
      </c>
      <c r="C44" s="322">
        <f t="shared" si="0"/>
        <v>250.96947748615716</v>
      </c>
      <c r="D44" s="323">
        <f t="shared" si="1"/>
        <v>3637.7700186172337</v>
      </c>
      <c r="E44" s="322">
        <f t="shared" si="3"/>
        <v>41379.176615671044</v>
      </c>
      <c r="F44" s="324" t="s">
        <v>343</v>
      </c>
      <c r="G44" s="314">
        <v>2018</v>
      </c>
      <c r="H44" s="314"/>
    </row>
    <row r="45" spans="1:8" x14ac:dyDescent="0.3">
      <c r="A45" s="314">
        <v>38</v>
      </c>
      <c r="B45" s="319">
        <f t="shared" si="4"/>
        <v>41379.176615671044</v>
      </c>
      <c r="C45" s="322">
        <f t="shared" si="0"/>
        <v>230.68890963236606</v>
      </c>
      <c r="D45" s="323">
        <f t="shared" si="1"/>
        <v>3658.0505864710249</v>
      </c>
      <c r="E45" s="322">
        <f t="shared" si="3"/>
        <v>37721.126029200022</v>
      </c>
      <c r="F45" s="324" t="s">
        <v>290</v>
      </c>
      <c r="G45" s="314">
        <v>2018</v>
      </c>
      <c r="H45" s="314"/>
    </row>
    <row r="46" spans="1:8" x14ac:dyDescent="0.3">
      <c r="A46" s="314">
        <v>39</v>
      </c>
      <c r="B46" s="319">
        <f t="shared" si="4"/>
        <v>37721.126029200022</v>
      </c>
      <c r="C46" s="322">
        <f t="shared" si="0"/>
        <v>210.29527761279013</v>
      </c>
      <c r="D46" s="323">
        <f t="shared" si="1"/>
        <v>3678.4442184906011</v>
      </c>
      <c r="E46" s="322">
        <f t="shared" si="3"/>
        <v>34042.681810709422</v>
      </c>
      <c r="F46" s="324" t="s">
        <v>344</v>
      </c>
      <c r="G46" s="314">
        <v>2018</v>
      </c>
      <c r="H46" s="314"/>
    </row>
    <row r="47" spans="1:8" x14ac:dyDescent="0.3">
      <c r="A47" s="314">
        <v>40</v>
      </c>
      <c r="B47" s="319">
        <f t="shared" si="4"/>
        <v>34042.681810709422</v>
      </c>
      <c r="C47" s="322">
        <f t="shared" si="0"/>
        <v>189.78795109470502</v>
      </c>
      <c r="D47" s="323">
        <f t="shared" si="1"/>
        <v>3698.951545008686</v>
      </c>
      <c r="E47" s="322">
        <f t="shared" si="3"/>
        <v>30343.730265700735</v>
      </c>
      <c r="F47" s="324" t="s">
        <v>292</v>
      </c>
      <c r="G47" s="314">
        <v>2018</v>
      </c>
      <c r="H47" s="314"/>
    </row>
    <row r="48" spans="1:8" x14ac:dyDescent="0.3">
      <c r="A48" s="314">
        <v>41</v>
      </c>
      <c r="B48" s="319">
        <f t="shared" si="4"/>
        <v>30343.730265700735</v>
      </c>
      <c r="C48" s="322">
        <f t="shared" si="0"/>
        <v>169.16629623128159</v>
      </c>
      <c r="D48" s="323">
        <f t="shared" si="1"/>
        <v>3719.5731998721094</v>
      </c>
      <c r="E48" s="322">
        <f t="shared" si="3"/>
        <v>26624.157065828625</v>
      </c>
      <c r="F48" s="324" t="s">
        <v>293</v>
      </c>
      <c r="G48" s="314">
        <v>2018</v>
      </c>
      <c r="H48" s="314"/>
    </row>
    <row r="49" spans="1:8" x14ac:dyDescent="0.3">
      <c r="A49" s="314">
        <v>42</v>
      </c>
      <c r="B49" s="319">
        <f t="shared" si="4"/>
        <v>26624.157065828625</v>
      </c>
      <c r="C49" s="322">
        <f t="shared" si="0"/>
        <v>148.42967564199458</v>
      </c>
      <c r="D49" s="323">
        <f t="shared" si="1"/>
        <v>3740.3098204613966</v>
      </c>
      <c r="E49" s="322">
        <f t="shared" si="3"/>
        <v>22883.847245367229</v>
      </c>
      <c r="F49" s="324" t="s">
        <v>282</v>
      </c>
      <c r="G49" s="314">
        <v>2018</v>
      </c>
      <c r="H49" s="314"/>
    </row>
    <row r="50" spans="1:8" x14ac:dyDescent="0.3">
      <c r="A50" s="314">
        <v>43</v>
      </c>
      <c r="B50" s="319">
        <f t="shared" si="4"/>
        <v>22883.847245367229</v>
      </c>
      <c r="C50" s="322">
        <f t="shared" si="0"/>
        <v>127.57744839292231</v>
      </c>
      <c r="D50" s="323">
        <f t="shared" si="1"/>
        <v>3761.1620477104689</v>
      </c>
      <c r="E50" s="322">
        <f t="shared" si="3"/>
        <v>19122.68519765676</v>
      </c>
      <c r="F50" s="324" t="s">
        <v>283</v>
      </c>
      <c r="G50" s="314">
        <v>2019</v>
      </c>
      <c r="H50" s="314"/>
    </row>
    <row r="51" spans="1:8" x14ac:dyDescent="0.3">
      <c r="A51" s="314">
        <v>44</v>
      </c>
      <c r="B51" s="319">
        <f t="shared" si="4"/>
        <v>19122.68519765676</v>
      </c>
      <c r="C51" s="322">
        <f t="shared" si="0"/>
        <v>106.60896997693644</v>
      </c>
      <c r="D51" s="323">
        <f t="shared" si="1"/>
        <v>3782.1305261264547</v>
      </c>
      <c r="E51" s="322">
        <f t="shared" si="3"/>
        <v>15340.554671530304</v>
      </c>
      <c r="F51" s="324" t="s">
        <v>284</v>
      </c>
      <c r="G51" s="314">
        <v>2019</v>
      </c>
      <c r="H51" s="314"/>
    </row>
    <row r="52" spans="1:8" x14ac:dyDescent="0.3">
      <c r="A52" s="314">
        <v>45</v>
      </c>
      <c r="B52" s="319">
        <f t="shared" si="4"/>
        <v>15340.554671530304</v>
      </c>
      <c r="C52" s="322">
        <f t="shared" si="0"/>
        <v>85.523592293781448</v>
      </c>
      <c r="D52" s="323">
        <f t="shared" si="1"/>
        <v>3803.2159038096097</v>
      </c>
      <c r="E52" s="322">
        <f t="shared" si="3"/>
        <v>11537.338767720696</v>
      </c>
      <c r="F52" s="324" t="s">
        <v>340</v>
      </c>
      <c r="G52" s="314">
        <v>2019</v>
      </c>
      <c r="H52" s="314"/>
    </row>
    <row r="53" spans="1:8" x14ac:dyDescent="0.3">
      <c r="A53" s="314">
        <v>46</v>
      </c>
      <c r="B53" s="319">
        <f t="shared" si="4"/>
        <v>11537.338767720696</v>
      </c>
      <c r="C53" s="322">
        <f t="shared" si="0"/>
        <v>64.320663630042873</v>
      </c>
      <c r="D53" s="323">
        <f t="shared" si="1"/>
        <v>3824.4188324733482</v>
      </c>
      <c r="E53" s="322">
        <f t="shared" si="3"/>
        <v>7712.9199352473479</v>
      </c>
      <c r="F53" s="324" t="s">
        <v>341</v>
      </c>
      <c r="G53" s="314">
        <v>2019</v>
      </c>
      <c r="H53" s="314"/>
    </row>
    <row r="54" spans="1:8" x14ac:dyDescent="0.3">
      <c r="A54" s="314">
        <v>47</v>
      </c>
      <c r="B54" s="319">
        <f t="shared" si="4"/>
        <v>7712.9199352473479</v>
      </c>
      <c r="C54" s="322">
        <f t="shared" si="0"/>
        <v>42.999528639003962</v>
      </c>
      <c r="D54" s="323">
        <f t="shared" si="1"/>
        <v>3845.7399674643871</v>
      </c>
      <c r="E54" s="322">
        <f t="shared" si="3"/>
        <v>3867.1799677829608</v>
      </c>
      <c r="F54" s="324" t="s">
        <v>287</v>
      </c>
      <c r="G54" s="314">
        <v>2019</v>
      </c>
      <c r="H54" s="314"/>
    </row>
    <row r="55" spans="1:8" x14ac:dyDescent="0.3">
      <c r="A55" s="314">
        <v>48</v>
      </c>
      <c r="B55" s="319">
        <f t="shared" si="4"/>
        <v>3867.1799677829608</v>
      </c>
      <c r="C55" s="322">
        <f t="shared" si="0"/>
        <v>21.559528320390008</v>
      </c>
      <c r="D55" s="323">
        <f t="shared" si="1"/>
        <v>3867.1799677830008</v>
      </c>
      <c r="E55" s="322">
        <f t="shared" si="3"/>
        <v>0</v>
      </c>
      <c r="F55" s="324" t="s">
        <v>342</v>
      </c>
      <c r="G55" s="314">
        <v>2019</v>
      </c>
      <c r="H55" s="314"/>
    </row>
    <row r="56" spans="1:8" x14ac:dyDescent="0.3">
      <c r="A56" s="325" t="s">
        <v>68</v>
      </c>
      <c r="B56" s="326"/>
      <c r="C56" s="327">
        <f>SUM(C8:C55)</f>
        <v>23285.495812962778</v>
      </c>
      <c r="D56" s="327">
        <f>SUM(D8:D55)</f>
        <v>163374</v>
      </c>
      <c r="E56" s="322"/>
      <c r="F56" s="324"/>
      <c r="G56" s="314"/>
      <c r="H56" s="314"/>
    </row>
    <row r="57" spans="1:8" x14ac:dyDescent="0.3">
      <c r="A57" s="314"/>
      <c r="B57" s="319"/>
      <c r="C57" s="312" t="s">
        <v>278</v>
      </c>
      <c r="D57" s="313" t="s">
        <v>279</v>
      </c>
      <c r="E57" s="322"/>
      <c r="F57" s="324"/>
      <c r="G57" s="314"/>
      <c r="H57" s="314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3" workbookViewId="0">
      <selection activeCell="I8" sqref="I8"/>
    </sheetView>
  </sheetViews>
  <sheetFormatPr defaultRowHeight="14.4" x14ac:dyDescent="0.3"/>
  <cols>
    <col min="2" max="2" width="17.88671875" customWidth="1"/>
    <col min="3" max="3" width="17.5546875" customWidth="1"/>
    <col min="4" max="4" width="21.88671875" customWidth="1"/>
    <col min="5" max="5" width="16.6640625" customWidth="1"/>
  </cols>
  <sheetData>
    <row r="1" spans="1:7" ht="15" x14ac:dyDescent="0.25">
      <c r="A1" t="s">
        <v>339</v>
      </c>
      <c r="E1" t="s">
        <v>345</v>
      </c>
      <c r="F1" s="1"/>
    </row>
    <row r="2" spans="1:7" ht="15" x14ac:dyDescent="0.25">
      <c r="A2" s="314"/>
      <c r="B2" s="314" t="s">
        <v>265</v>
      </c>
      <c r="C2" s="314"/>
      <c r="D2" s="314"/>
      <c r="E2" s="314"/>
      <c r="F2" s="315"/>
      <c r="G2" s="314"/>
    </row>
    <row r="3" spans="1:7" ht="15" x14ac:dyDescent="0.25">
      <c r="A3" s="314"/>
      <c r="B3" s="314" t="s">
        <v>266</v>
      </c>
      <c r="C3" s="113">
        <v>64866</v>
      </c>
      <c r="D3" s="314"/>
      <c r="E3" s="314"/>
      <c r="F3" s="315"/>
      <c r="G3" s="314"/>
    </row>
    <row r="4" spans="1:7" ht="15" x14ac:dyDescent="0.25">
      <c r="A4" s="314"/>
      <c r="B4" s="314" t="s">
        <v>267</v>
      </c>
      <c r="C4" s="316">
        <f>D4/12</f>
        <v>5.5750000000000001E-3</v>
      </c>
      <c r="D4" s="317">
        <v>6.6900000000000001E-2</v>
      </c>
      <c r="E4" s="314" t="s">
        <v>281</v>
      </c>
      <c r="F4" s="315"/>
      <c r="G4" s="314"/>
    </row>
    <row r="5" spans="1:7" ht="15" x14ac:dyDescent="0.25">
      <c r="A5" s="314"/>
      <c r="B5" s="314" t="s">
        <v>269</v>
      </c>
      <c r="C5" s="318">
        <v>48</v>
      </c>
      <c r="D5" s="314" t="s">
        <v>270</v>
      </c>
      <c r="E5" s="314"/>
      <c r="F5" s="315"/>
      <c r="G5" s="314" t="s">
        <v>272</v>
      </c>
    </row>
    <row r="6" spans="1:7" ht="15" x14ac:dyDescent="0.25">
      <c r="A6" s="314"/>
      <c r="B6" s="314" t="s">
        <v>271</v>
      </c>
      <c r="C6" s="319">
        <f>PMT(C4,C5,C3)</f>
        <v>-1543.9848210501216</v>
      </c>
      <c r="D6" s="320"/>
      <c r="E6" s="314"/>
      <c r="F6" s="315"/>
      <c r="G6" s="314"/>
    </row>
    <row r="7" spans="1:7" ht="15" x14ac:dyDescent="0.25">
      <c r="A7" s="314"/>
      <c r="B7" s="315" t="s">
        <v>273</v>
      </c>
      <c r="C7" s="315" t="s">
        <v>274</v>
      </c>
      <c r="D7" s="315" t="s">
        <v>275</v>
      </c>
      <c r="E7" s="315" t="s">
        <v>276</v>
      </c>
      <c r="F7" s="315"/>
      <c r="G7" s="315" t="s">
        <v>277</v>
      </c>
    </row>
    <row r="8" spans="1:7" ht="15" x14ac:dyDescent="0.25">
      <c r="A8" s="314">
        <v>1</v>
      </c>
      <c r="B8" s="319">
        <f>+C3</f>
        <v>64866</v>
      </c>
      <c r="C8" s="319">
        <f t="shared" ref="C8:C55" si="0">+B8*$C$4</f>
        <v>361.62795</v>
      </c>
      <c r="D8" s="319">
        <f t="shared" ref="D8:D55" si="1">-$C$6-C8</f>
        <v>1182.3568710501215</v>
      </c>
      <c r="E8" s="319">
        <f>IF((+B8-D8)&lt;0,0,B8-D8)</f>
        <v>63683.64312894988</v>
      </c>
      <c r="F8" s="321" t="s">
        <v>289</v>
      </c>
      <c r="G8" s="314">
        <v>2015</v>
      </c>
    </row>
    <row r="9" spans="1:7" ht="15" x14ac:dyDescent="0.25">
      <c r="A9" s="314">
        <v>2</v>
      </c>
      <c r="B9" s="319">
        <f t="shared" ref="B9:B22" si="2">+E8</f>
        <v>63683.64312894988</v>
      </c>
      <c r="C9" s="319">
        <f t="shared" si="0"/>
        <v>355.03631044389556</v>
      </c>
      <c r="D9" s="319">
        <f t="shared" si="1"/>
        <v>1188.9485106062261</v>
      </c>
      <c r="E9" s="319">
        <f t="shared" ref="E9:E55" si="3">IF((+B9-D9)&lt;0,0,B9-D9)</f>
        <v>62494.694618343652</v>
      </c>
      <c r="F9" s="321" t="s">
        <v>290</v>
      </c>
      <c r="G9" s="314">
        <v>2015</v>
      </c>
    </row>
    <row r="10" spans="1:7" ht="15" x14ac:dyDescent="0.25">
      <c r="A10" s="314">
        <v>3</v>
      </c>
      <c r="B10" s="319">
        <f t="shared" si="2"/>
        <v>62494.694618343652</v>
      </c>
      <c r="C10" s="319">
        <f t="shared" si="0"/>
        <v>348.40792249726587</v>
      </c>
      <c r="D10" s="319">
        <f t="shared" si="1"/>
        <v>1195.5768985528557</v>
      </c>
      <c r="E10" s="319">
        <f t="shared" si="3"/>
        <v>61299.117719790796</v>
      </c>
      <c r="F10" s="321" t="s">
        <v>291</v>
      </c>
      <c r="G10" s="314">
        <v>2015</v>
      </c>
    </row>
    <row r="11" spans="1:7" ht="15" x14ac:dyDescent="0.25">
      <c r="A11" s="314">
        <v>4</v>
      </c>
      <c r="B11" s="319">
        <f t="shared" si="2"/>
        <v>61299.117719790796</v>
      </c>
      <c r="C11" s="319">
        <f t="shared" si="0"/>
        <v>341.74258128783367</v>
      </c>
      <c r="D11" s="319">
        <f t="shared" si="1"/>
        <v>1202.2422397622879</v>
      </c>
      <c r="E11" s="319">
        <f t="shared" si="3"/>
        <v>60096.87548002851</v>
      </c>
      <c r="F11" s="321" t="s">
        <v>292</v>
      </c>
      <c r="G11" s="314">
        <v>2015</v>
      </c>
    </row>
    <row r="12" spans="1:7" ht="15" x14ac:dyDescent="0.25">
      <c r="A12" s="314">
        <v>5</v>
      </c>
      <c r="B12" s="319">
        <f t="shared" si="2"/>
        <v>60096.87548002851</v>
      </c>
      <c r="C12" s="319">
        <f t="shared" si="0"/>
        <v>335.04008080115892</v>
      </c>
      <c r="D12" s="319">
        <f t="shared" si="1"/>
        <v>1208.9447402489627</v>
      </c>
      <c r="E12" s="319">
        <f t="shared" si="3"/>
        <v>58887.930739779549</v>
      </c>
      <c r="F12" s="321" t="s">
        <v>293</v>
      </c>
      <c r="G12" s="314">
        <v>2015</v>
      </c>
    </row>
    <row r="13" spans="1:7" ht="15" x14ac:dyDescent="0.25">
      <c r="A13" s="314">
        <v>6</v>
      </c>
      <c r="B13" s="319">
        <f t="shared" si="2"/>
        <v>58887.930739779549</v>
      </c>
      <c r="C13" s="319">
        <f t="shared" si="0"/>
        <v>328.30021387427098</v>
      </c>
      <c r="D13" s="319">
        <f t="shared" si="1"/>
        <v>1215.6846071758505</v>
      </c>
      <c r="E13" s="319">
        <f t="shared" si="3"/>
        <v>57672.246132603701</v>
      </c>
      <c r="F13" s="321" t="s">
        <v>282</v>
      </c>
      <c r="G13" s="314">
        <v>2015</v>
      </c>
    </row>
    <row r="14" spans="1:7" ht="15" x14ac:dyDescent="0.25">
      <c r="A14" s="314">
        <v>7</v>
      </c>
      <c r="B14" s="319">
        <f t="shared" si="2"/>
        <v>57672.246132603701</v>
      </c>
      <c r="C14" s="319">
        <f t="shared" si="0"/>
        <v>321.52277218926565</v>
      </c>
      <c r="D14" s="319">
        <f t="shared" si="1"/>
        <v>1222.4620488608559</v>
      </c>
      <c r="E14" s="319">
        <f t="shared" si="3"/>
        <v>56449.784083742845</v>
      </c>
      <c r="F14" s="321" t="s">
        <v>294</v>
      </c>
      <c r="G14" s="314">
        <v>2016</v>
      </c>
    </row>
    <row r="15" spans="1:7" ht="15" x14ac:dyDescent="0.25">
      <c r="A15" s="314">
        <v>8</v>
      </c>
      <c r="B15" s="319">
        <f t="shared" si="2"/>
        <v>56449.784083742845</v>
      </c>
      <c r="C15" s="319">
        <f t="shared" si="0"/>
        <v>314.70754626686636</v>
      </c>
      <c r="D15" s="319">
        <f t="shared" si="1"/>
        <v>1229.2772747832553</v>
      </c>
      <c r="E15" s="319">
        <f t="shared" si="3"/>
        <v>55220.506808959588</v>
      </c>
      <c r="F15" s="321" t="s">
        <v>284</v>
      </c>
      <c r="G15" s="314">
        <v>2016</v>
      </c>
    </row>
    <row r="16" spans="1:7" ht="15" x14ac:dyDescent="0.25">
      <c r="A16" s="314">
        <v>9</v>
      </c>
      <c r="B16" s="319">
        <f t="shared" si="2"/>
        <v>55220.506808959588</v>
      </c>
      <c r="C16" s="319">
        <f t="shared" si="0"/>
        <v>307.85432545994973</v>
      </c>
      <c r="D16" s="319">
        <f t="shared" si="1"/>
        <v>1236.1304955901719</v>
      </c>
      <c r="E16" s="319">
        <f t="shared" si="3"/>
        <v>53984.376313369416</v>
      </c>
      <c r="F16" s="321" t="s">
        <v>285</v>
      </c>
      <c r="G16" s="314">
        <v>2016</v>
      </c>
    </row>
    <row r="17" spans="1:8" ht="15" x14ac:dyDescent="0.25">
      <c r="A17" s="314">
        <v>10</v>
      </c>
      <c r="B17" s="319">
        <f t="shared" si="2"/>
        <v>53984.376313369416</v>
      </c>
      <c r="C17" s="319">
        <f t="shared" si="0"/>
        <v>300.96289794703449</v>
      </c>
      <c r="D17" s="319">
        <f t="shared" si="1"/>
        <v>1243.0219231030871</v>
      </c>
      <c r="E17" s="319">
        <f t="shared" si="3"/>
        <v>52741.35439026633</v>
      </c>
      <c r="F17" s="321" t="s">
        <v>286</v>
      </c>
      <c r="G17" s="314">
        <v>2016</v>
      </c>
    </row>
    <row r="18" spans="1:8" ht="15" x14ac:dyDescent="0.25">
      <c r="A18" s="314">
        <v>11</v>
      </c>
      <c r="B18" s="319">
        <f t="shared" si="2"/>
        <v>52741.35439026633</v>
      </c>
      <c r="C18" s="319">
        <f t="shared" si="0"/>
        <v>294.03305072573477</v>
      </c>
      <c r="D18" s="319">
        <f t="shared" si="1"/>
        <v>1249.9517703243869</v>
      </c>
      <c r="E18" s="319">
        <f t="shared" si="3"/>
        <v>51491.402619941946</v>
      </c>
      <c r="F18" s="321" t="s">
        <v>287</v>
      </c>
      <c r="G18" s="314">
        <v>2016</v>
      </c>
    </row>
    <row r="19" spans="1:8" ht="15" x14ac:dyDescent="0.25">
      <c r="A19" s="314">
        <v>12</v>
      </c>
      <c r="B19" s="319">
        <f t="shared" si="2"/>
        <v>51491.402619941946</v>
      </c>
      <c r="C19" s="319">
        <f t="shared" si="0"/>
        <v>287.06456960617635</v>
      </c>
      <c r="D19" s="319">
        <f t="shared" si="1"/>
        <v>1256.9202514439453</v>
      </c>
      <c r="E19" s="319">
        <f t="shared" si="3"/>
        <v>50234.482368498</v>
      </c>
      <c r="F19" s="321" t="s">
        <v>288</v>
      </c>
      <c r="G19" s="314">
        <v>2016</v>
      </c>
    </row>
    <row r="20" spans="1:8" ht="15" x14ac:dyDescent="0.25">
      <c r="A20" s="314">
        <v>13</v>
      </c>
      <c r="B20" s="319">
        <f t="shared" si="2"/>
        <v>50234.482368498</v>
      </c>
      <c r="C20" s="319">
        <f t="shared" si="0"/>
        <v>280.05723920437634</v>
      </c>
      <c r="D20" s="319">
        <f t="shared" si="1"/>
        <v>1263.9275818457452</v>
      </c>
      <c r="E20" s="319">
        <f t="shared" si="3"/>
        <v>48970.554786652254</v>
      </c>
      <c r="F20" s="321" t="s">
        <v>289</v>
      </c>
      <c r="G20" s="314">
        <v>2016</v>
      </c>
    </row>
    <row r="21" spans="1:8" ht="15" x14ac:dyDescent="0.25">
      <c r="A21" s="314">
        <v>14</v>
      </c>
      <c r="B21" s="319">
        <f t="shared" si="2"/>
        <v>48970.554786652254</v>
      </c>
      <c r="C21" s="319">
        <f t="shared" si="0"/>
        <v>273.01084293558631</v>
      </c>
      <c r="D21" s="319">
        <f t="shared" si="1"/>
        <v>1270.9739781145354</v>
      </c>
      <c r="E21" s="319">
        <f t="shared" si="3"/>
        <v>47699.580808537721</v>
      </c>
      <c r="F21" s="321" t="s">
        <v>290</v>
      </c>
      <c r="G21" s="314">
        <v>2016</v>
      </c>
    </row>
    <row r="22" spans="1:8" ht="15" x14ac:dyDescent="0.25">
      <c r="A22" s="314">
        <v>15</v>
      </c>
      <c r="B22" s="319">
        <f t="shared" si="2"/>
        <v>47699.580808537721</v>
      </c>
      <c r="C22" s="319">
        <f t="shared" si="0"/>
        <v>265.9251630075978</v>
      </c>
      <c r="D22" s="319">
        <f t="shared" si="1"/>
        <v>1278.0596580425238</v>
      </c>
      <c r="E22" s="319">
        <f t="shared" si="3"/>
        <v>46421.521150495195</v>
      </c>
      <c r="F22" s="321" t="s">
        <v>291</v>
      </c>
      <c r="G22" s="314">
        <v>2016</v>
      </c>
    </row>
    <row r="23" spans="1:8" ht="15" x14ac:dyDescent="0.25">
      <c r="A23" s="314">
        <v>16</v>
      </c>
      <c r="B23" s="319">
        <f t="shared" ref="B23:B55" si="4">E22</f>
        <v>46421.521150495195</v>
      </c>
      <c r="C23" s="322">
        <f t="shared" si="0"/>
        <v>258.79998041401069</v>
      </c>
      <c r="D23" s="323">
        <f t="shared" si="1"/>
        <v>1285.1848406361109</v>
      </c>
      <c r="E23" s="322">
        <f t="shared" si="3"/>
        <v>45136.336309859085</v>
      </c>
      <c r="F23" s="321" t="s">
        <v>292</v>
      </c>
      <c r="G23" s="314">
        <v>2016</v>
      </c>
    </row>
    <row r="24" spans="1:8" x14ac:dyDescent="0.35">
      <c r="A24" s="314">
        <v>17</v>
      </c>
      <c r="B24" s="319">
        <f t="shared" si="4"/>
        <v>45136.336309859085</v>
      </c>
      <c r="C24" s="322">
        <f t="shared" si="0"/>
        <v>251.63507492746442</v>
      </c>
      <c r="D24" s="323">
        <f t="shared" si="1"/>
        <v>1292.3497461226571</v>
      </c>
      <c r="E24" s="322">
        <f t="shared" si="3"/>
        <v>43843.986563736427</v>
      </c>
      <c r="F24" s="321" t="s">
        <v>293</v>
      </c>
      <c r="G24" s="314">
        <v>2016</v>
      </c>
    </row>
    <row r="25" spans="1:8" x14ac:dyDescent="0.35">
      <c r="A25" s="314">
        <v>18</v>
      </c>
      <c r="B25" s="319">
        <f t="shared" si="4"/>
        <v>43843.986563736427</v>
      </c>
      <c r="C25" s="322">
        <f t="shared" si="0"/>
        <v>244.4302250928306</v>
      </c>
      <c r="D25" s="323">
        <f t="shared" si="1"/>
        <v>1299.554595957291</v>
      </c>
      <c r="E25" s="322">
        <f t="shared" si="3"/>
        <v>42544.431967779135</v>
      </c>
      <c r="F25" s="321" t="s">
        <v>282</v>
      </c>
      <c r="G25" s="314">
        <v>2016</v>
      </c>
      <c r="H25" s="314"/>
    </row>
    <row r="26" spans="1:8" x14ac:dyDescent="0.3">
      <c r="A26" s="314">
        <v>19</v>
      </c>
      <c r="B26" s="319">
        <f t="shared" si="4"/>
        <v>42544.431967779135</v>
      </c>
      <c r="C26" s="322">
        <f t="shared" si="0"/>
        <v>237.18520822036868</v>
      </c>
      <c r="D26" s="323">
        <f t="shared" si="1"/>
        <v>1306.799612829753</v>
      </c>
      <c r="E26" s="322">
        <f t="shared" si="3"/>
        <v>41237.632354949383</v>
      </c>
      <c r="F26" s="324" t="s">
        <v>283</v>
      </c>
      <c r="G26" s="314">
        <v>2017</v>
      </c>
    </row>
    <row r="27" spans="1:8" x14ac:dyDescent="0.3">
      <c r="A27" s="314">
        <v>20</v>
      </c>
      <c r="B27" s="319">
        <f t="shared" si="4"/>
        <v>41237.632354949383</v>
      </c>
      <c r="C27" s="322">
        <f t="shared" si="0"/>
        <v>229.89980037884283</v>
      </c>
      <c r="D27" s="323">
        <f t="shared" si="1"/>
        <v>1314.0850206712787</v>
      </c>
      <c r="E27" s="322">
        <f t="shared" si="3"/>
        <v>39923.547334278104</v>
      </c>
      <c r="F27" s="324" t="s">
        <v>284</v>
      </c>
      <c r="G27" s="314">
        <v>2017</v>
      </c>
    </row>
    <row r="28" spans="1:8" x14ac:dyDescent="0.3">
      <c r="A28" s="314">
        <v>21</v>
      </c>
      <c r="B28" s="319">
        <f t="shared" si="4"/>
        <v>39923.547334278104</v>
      </c>
      <c r="C28" s="322">
        <f t="shared" si="0"/>
        <v>222.57377638860044</v>
      </c>
      <c r="D28" s="323">
        <f t="shared" si="1"/>
        <v>1321.4110446615211</v>
      </c>
      <c r="E28" s="322">
        <f t="shared" si="3"/>
        <v>38602.136289616581</v>
      </c>
      <c r="F28" s="324" t="s">
        <v>340</v>
      </c>
      <c r="G28" s="314">
        <v>2017</v>
      </c>
    </row>
    <row r="29" spans="1:8" x14ac:dyDescent="0.3">
      <c r="A29" s="314">
        <v>22</v>
      </c>
      <c r="B29" s="319">
        <f t="shared" si="4"/>
        <v>38602.136289616581</v>
      </c>
      <c r="C29" s="322">
        <f t="shared" si="0"/>
        <v>215.20690981461243</v>
      </c>
      <c r="D29" s="323">
        <f t="shared" si="1"/>
        <v>1328.7779112355092</v>
      </c>
      <c r="E29" s="322">
        <f t="shared" si="3"/>
        <v>37273.358378381075</v>
      </c>
      <c r="F29" s="324" t="s">
        <v>341</v>
      </c>
      <c r="G29" s="314">
        <v>2017</v>
      </c>
    </row>
    <row r="30" spans="1:8" x14ac:dyDescent="0.3">
      <c r="A30" s="314">
        <v>23</v>
      </c>
      <c r="B30" s="319">
        <f t="shared" si="4"/>
        <v>37273.358378381075</v>
      </c>
      <c r="C30" s="322">
        <f t="shared" si="0"/>
        <v>207.7989729594745</v>
      </c>
      <c r="D30" s="323">
        <f t="shared" si="1"/>
        <v>1336.1858480906471</v>
      </c>
      <c r="E30" s="322">
        <f t="shared" si="3"/>
        <v>35937.172530290431</v>
      </c>
      <c r="F30" s="321" t="s">
        <v>287</v>
      </c>
      <c r="G30" s="314">
        <v>2017</v>
      </c>
    </row>
    <row r="31" spans="1:8" x14ac:dyDescent="0.3">
      <c r="A31" s="314">
        <v>24</v>
      </c>
      <c r="B31" s="319">
        <f t="shared" si="4"/>
        <v>35937.172530290431</v>
      </c>
      <c r="C31" s="322">
        <f t="shared" si="0"/>
        <v>200.34973685636916</v>
      </c>
      <c r="D31" s="323">
        <f t="shared" si="1"/>
        <v>1343.6350841937524</v>
      </c>
      <c r="E31" s="322">
        <f t="shared" si="3"/>
        <v>34593.537446096678</v>
      </c>
      <c r="F31" s="321" t="s">
        <v>288</v>
      </c>
      <c r="G31" s="314">
        <v>2017</v>
      </c>
    </row>
    <row r="32" spans="1:8" x14ac:dyDescent="0.3">
      <c r="A32" s="314">
        <v>25</v>
      </c>
      <c r="B32" s="319">
        <f t="shared" si="4"/>
        <v>34593.537446096678</v>
      </c>
      <c r="C32" s="322">
        <f t="shared" si="0"/>
        <v>192.85897126198898</v>
      </c>
      <c r="D32" s="323">
        <f t="shared" si="1"/>
        <v>1351.1258497881327</v>
      </c>
      <c r="E32" s="322">
        <f t="shared" si="3"/>
        <v>33242.411596308542</v>
      </c>
      <c r="F32" s="321" t="s">
        <v>289</v>
      </c>
      <c r="G32" s="314">
        <v>2017</v>
      </c>
    </row>
    <row r="33" spans="1:7" x14ac:dyDescent="0.3">
      <c r="A33" s="314">
        <v>26</v>
      </c>
      <c r="B33" s="319">
        <f t="shared" si="4"/>
        <v>33242.411596308542</v>
      </c>
      <c r="C33" s="322">
        <f t="shared" si="0"/>
        <v>185.32644464942013</v>
      </c>
      <c r="D33" s="323">
        <f t="shared" si="1"/>
        <v>1358.6583764007014</v>
      </c>
      <c r="E33" s="322">
        <f t="shared" si="3"/>
        <v>31883.753219907841</v>
      </c>
      <c r="F33" s="321" t="s">
        <v>290</v>
      </c>
      <c r="G33" s="314">
        <v>2017</v>
      </c>
    </row>
    <row r="34" spans="1:7" x14ac:dyDescent="0.3">
      <c r="A34" s="314">
        <v>27</v>
      </c>
      <c r="B34" s="319">
        <f t="shared" si="4"/>
        <v>31883.753219907841</v>
      </c>
      <c r="C34" s="322">
        <f t="shared" si="0"/>
        <v>177.75192420098622</v>
      </c>
      <c r="D34" s="323">
        <f t="shared" si="1"/>
        <v>1366.2328968491354</v>
      </c>
      <c r="E34" s="322">
        <f t="shared" si="3"/>
        <v>30517.520323058707</v>
      </c>
      <c r="F34" s="321" t="s">
        <v>291</v>
      </c>
      <c r="G34" s="314">
        <v>2017</v>
      </c>
    </row>
    <row r="35" spans="1:7" x14ac:dyDescent="0.3">
      <c r="A35" s="314">
        <v>28</v>
      </c>
      <c r="B35" s="319">
        <f t="shared" si="4"/>
        <v>30517.520323058707</v>
      </c>
      <c r="C35" s="322">
        <f t="shared" si="0"/>
        <v>170.1351758010523</v>
      </c>
      <c r="D35" s="323">
        <f t="shared" si="1"/>
        <v>1373.8496452490692</v>
      </c>
      <c r="E35" s="322">
        <f t="shared" si="3"/>
        <v>29143.670677809638</v>
      </c>
      <c r="F35" s="321" t="s">
        <v>292</v>
      </c>
      <c r="G35" s="314">
        <v>2017</v>
      </c>
    </row>
    <row r="36" spans="1:7" x14ac:dyDescent="0.3">
      <c r="A36" s="314">
        <v>29</v>
      </c>
      <c r="B36" s="319">
        <f t="shared" si="4"/>
        <v>29143.670677809638</v>
      </c>
      <c r="C36" s="322">
        <f t="shared" si="0"/>
        <v>162.47596402878872</v>
      </c>
      <c r="D36" s="323">
        <f t="shared" si="1"/>
        <v>1381.5088570213329</v>
      </c>
      <c r="E36" s="322">
        <f t="shared" si="3"/>
        <v>27762.161820788304</v>
      </c>
      <c r="F36" s="321" t="s">
        <v>293</v>
      </c>
      <c r="G36" s="314">
        <v>2017</v>
      </c>
    </row>
    <row r="37" spans="1:7" x14ac:dyDescent="0.3">
      <c r="A37" s="314">
        <v>30</v>
      </c>
      <c r="B37" s="319">
        <f t="shared" si="4"/>
        <v>27762.161820788304</v>
      </c>
      <c r="C37" s="322">
        <f t="shared" si="0"/>
        <v>154.77405215089479</v>
      </c>
      <c r="D37" s="323">
        <f t="shared" si="1"/>
        <v>1389.2107688992269</v>
      </c>
      <c r="E37" s="322">
        <f t="shared" si="3"/>
        <v>26372.951051889078</v>
      </c>
      <c r="F37" s="321" t="s">
        <v>282</v>
      </c>
      <c r="G37" s="314">
        <v>2017</v>
      </c>
    </row>
    <row r="38" spans="1:7" x14ac:dyDescent="0.3">
      <c r="A38" s="314">
        <v>31</v>
      </c>
      <c r="B38" s="319">
        <f t="shared" si="4"/>
        <v>26372.951051889078</v>
      </c>
      <c r="C38" s="322">
        <f t="shared" si="0"/>
        <v>147.02920211428162</v>
      </c>
      <c r="D38" s="323">
        <f t="shared" si="1"/>
        <v>1396.95561893584</v>
      </c>
      <c r="E38" s="322">
        <f t="shared" si="3"/>
        <v>24975.995432953237</v>
      </c>
      <c r="F38" s="324" t="s">
        <v>283</v>
      </c>
      <c r="G38" s="314">
        <v>2018</v>
      </c>
    </row>
    <row r="39" spans="1:7" x14ac:dyDescent="0.3">
      <c r="A39" s="314">
        <v>32</v>
      </c>
      <c r="B39" s="319">
        <f t="shared" si="4"/>
        <v>24975.995432953237</v>
      </c>
      <c r="C39" s="322">
        <f t="shared" si="0"/>
        <v>139.24117453871429</v>
      </c>
      <c r="D39" s="323">
        <f t="shared" si="1"/>
        <v>1404.7436465114074</v>
      </c>
      <c r="E39" s="322">
        <f t="shared" si="3"/>
        <v>23571.25178644183</v>
      </c>
      <c r="F39" s="324" t="s">
        <v>284</v>
      </c>
      <c r="G39" s="314">
        <v>2018</v>
      </c>
    </row>
    <row r="40" spans="1:7" x14ac:dyDescent="0.3">
      <c r="A40" s="314">
        <v>33</v>
      </c>
      <c r="B40" s="319">
        <f t="shared" si="4"/>
        <v>23571.25178644183</v>
      </c>
      <c r="C40" s="322">
        <f t="shared" si="0"/>
        <v>131.4097287094132</v>
      </c>
      <c r="D40" s="323">
        <f t="shared" si="1"/>
        <v>1412.5750923407084</v>
      </c>
      <c r="E40" s="322">
        <f t="shared" si="3"/>
        <v>22158.676694101123</v>
      </c>
      <c r="F40" s="324" t="s">
        <v>340</v>
      </c>
      <c r="G40" s="314">
        <v>2018</v>
      </c>
    </row>
    <row r="41" spans="1:7" x14ac:dyDescent="0.3">
      <c r="A41" s="314">
        <v>34</v>
      </c>
      <c r="B41" s="319">
        <f t="shared" si="4"/>
        <v>22158.676694101123</v>
      </c>
      <c r="C41" s="322">
        <f t="shared" si="0"/>
        <v>123.53462256961376</v>
      </c>
      <c r="D41" s="323">
        <f t="shared" si="1"/>
        <v>1420.4501984805079</v>
      </c>
      <c r="E41" s="322">
        <f t="shared" si="3"/>
        <v>20738.226495620616</v>
      </c>
      <c r="F41" s="324" t="s">
        <v>341</v>
      </c>
      <c r="G41" s="314">
        <v>2018</v>
      </c>
    </row>
    <row r="42" spans="1:7" x14ac:dyDescent="0.3">
      <c r="A42" s="314">
        <v>35</v>
      </c>
      <c r="B42" s="319">
        <f t="shared" si="4"/>
        <v>20738.226495620616</v>
      </c>
      <c r="C42" s="322">
        <f t="shared" si="0"/>
        <v>115.61561271308494</v>
      </c>
      <c r="D42" s="323">
        <f t="shared" si="1"/>
        <v>1428.3692083370365</v>
      </c>
      <c r="E42" s="322">
        <f t="shared" si="3"/>
        <v>19309.857287283579</v>
      </c>
      <c r="F42" s="324" t="s">
        <v>287</v>
      </c>
      <c r="G42" s="314">
        <v>2018</v>
      </c>
    </row>
    <row r="43" spans="1:7" x14ac:dyDescent="0.3">
      <c r="A43" s="314">
        <v>36</v>
      </c>
      <c r="B43" s="319">
        <f t="shared" si="4"/>
        <v>19309.857287283579</v>
      </c>
      <c r="C43" s="322">
        <f t="shared" si="0"/>
        <v>107.65245437660596</v>
      </c>
      <c r="D43" s="323">
        <f t="shared" si="1"/>
        <v>1436.3323666735157</v>
      </c>
      <c r="E43" s="322">
        <f t="shared" si="3"/>
        <v>17873.524920610063</v>
      </c>
      <c r="F43" s="324" t="s">
        <v>342</v>
      </c>
      <c r="G43" s="314">
        <v>2018</v>
      </c>
    </row>
    <row r="44" spans="1:7" x14ac:dyDescent="0.3">
      <c r="A44" s="314">
        <v>37</v>
      </c>
      <c r="B44" s="319">
        <f t="shared" si="4"/>
        <v>17873.524920610063</v>
      </c>
      <c r="C44" s="322">
        <f t="shared" si="0"/>
        <v>99.644901432401099</v>
      </c>
      <c r="D44" s="323">
        <f t="shared" si="1"/>
        <v>1444.3399196177204</v>
      </c>
      <c r="E44" s="322">
        <f t="shared" si="3"/>
        <v>16429.185000992344</v>
      </c>
      <c r="F44" s="324" t="s">
        <v>343</v>
      </c>
      <c r="G44" s="314">
        <v>2018</v>
      </c>
    </row>
    <row r="45" spans="1:7" x14ac:dyDescent="0.3">
      <c r="A45" s="314">
        <v>38</v>
      </c>
      <c r="B45" s="319">
        <f t="shared" si="4"/>
        <v>16429.185000992344</v>
      </c>
      <c r="C45" s="322">
        <f t="shared" si="0"/>
        <v>91.59270638053232</v>
      </c>
      <c r="D45" s="323">
        <f t="shared" si="1"/>
        <v>1452.3921146695893</v>
      </c>
      <c r="E45" s="322">
        <f t="shared" si="3"/>
        <v>14976.792886322753</v>
      </c>
      <c r="F45" s="324" t="s">
        <v>290</v>
      </c>
      <c r="G45" s="314">
        <v>2018</v>
      </c>
    </row>
    <row r="46" spans="1:7" x14ac:dyDescent="0.3">
      <c r="A46" s="314">
        <v>39</v>
      </c>
      <c r="B46" s="319">
        <f t="shared" si="4"/>
        <v>14976.792886322753</v>
      </c>
      <c r="C46" s="322">
        <f t="shared" si="0"/>
        <v>83.495620341249349</v>
      </c>
      <c r="D46" s="323">
        <f t="shared" si="1"/>
        <v>1460.4892007088722</v>
      </c>
      <c r="E46" s="322">
        <f t="shared" si="3"/>
        <v>13516.303685613881</v>
      </c>
      <c r="F46" s="324" t="s">
        <v>344</v>
      </c>
      <c r="G46" s="314">
        <v>2018</v>
      </c>
    </row>
    <row r="47" spans="1:7" x14ac:dyDescent="0.3">
      <c r="A47" s="314">
        <v>40</v>
      </c>
      <c r="B47" s="319">
        <f t="shared" si="4"/>
        <v>13516.303685613881</v>
      </c>
      <c r="C47" s="322">
        <f t="shared" si="0"/>
        <v>75.353393047297388</v>
      </c>
      <c r="D47" s="323">
        <f t="shared" si="1"/>
        <v>1468.6314280028241</v>
      </c>
      <c r="E47" s="322">
        <f t="shared" si="3"/>
        <v>12047.672257611057</v>
      </c>
      <c r="F47" s="324" t="s">
        <v>292</v>
      </c>
      <c r="G47" s="314">
        <v>2018</v>
      </c>
    </row>
    <row r="48" spans="1:7" x14ac:dyDescent="0.3">
      <c r="A48" s="314">
        <v>41</v>
      </c>
      <c r="B48" s="319">
        <f t="shared" si="4"/>
        <v>12047.672257611057</v>
      </c>
      <c r="C48" s="322">
        <f t="shared" si="0"/>
        <v>67.165772836181645</v>
      </c>
      <c r="D48" s="323">
        <f t="shared" si="1"/>
        <v>1476.8190482139398</v>
      </c>
      <c r="E48" s="322">
        <f t="shared" si="3"/>
        <v>10570.853209397117</v>
      </c>
      <c r="F48" s="324" t="s">
        <v>293</v>
      </c>
      <c r="G48" s="314">
        <v>2018</v>
      </c>
    </row>
    <row r="49" spans="1:7" x14ac:dyDescent="0.3">
      <c r="A49" s="314">
        <v>42</v>
      </c>
      <c r="B49" s="319">
        <f t="shared" si="4"/>
        <v>10570.853209397117</v>
      </c>
      <c r="C49" s="322">
        <f t="shared" si="0"/>
        <v>58.93250664238893</v>
      </c>
      <c r="D49" s="323">
        <f t="shared" si="1"/>
        <v>1485.0523144077326</v>
      </c>
      <c r="E49" s="322">
        <f t="shared" si="3"/>
        <v>9085.8008949893847</v>
      </c>
      <c r="F49" s="324" t="s">
        <v>282</v>
      </c>
      <c r="G49" s="314">
        <v>2018</v>
      </c>
    </row>
    <row r="50" spans="1:7" x14ac:dyDescent="0.3">
      <c r="A50" s="314">
        <v>43</v>
      </c>
      <c r="B50" s="319">
        <f t="shared" si="4"/>
        <v>9085.8008949893847</v>
      </c>
      <c r="C50" s="322">
        <f t="shared" si="0"/>
        <v>50.653339989565822</v>
      </c>
      <c r="D50" s="323">
        <f t="shared" si="1"/>
        <v>1493.3314810605557</v>
      </c>
      <c r="E50" s="322">
        <f t="shared" si="3"/>
        <v>7592.4694139288295</v>
      </c>
      <c r="F50" s="324" t="s">
        <v>283</v>
      </c>
      <c r="G50" s="314">
        <v>2019</v>
      </c>
    </row>
    <row r="51" spans="1:7" x14ac:dyDescent="0.3">
      <c r="A51" s="314">
        <v>44</v>
      </c>
      <c r="B51" s="319">
        <f t="shared" si="4"/>
        <v>7592.4694139288295</v>
      </c>
      <c r="C51" s="322">
        <f t="shared" si="0"/>
        <v>42.328016982653224</v>
      </c>
      <c r="D51" s="323">
        <f t="shared" si="1"/>
        <v>1501.6568040674683</v>
      </c>
      <c r="E51" s="322">
        <f t="shared" si="3"/>
        <v>6090.8126098613611</v>
      </c>
      <c r="F51" s="324" t="s">
        <v>284</v>
      </c>
      <c r="G51" s="314">
        <v>2019</v>
      </c>
    </row>
    <row r="52" spans="1:7" x14ac:dyDescent="0.3">
      <c r="A52" s="314">
        <v>45</v>
      </c>
      <c r="B52" s="319">
        <f t="shared" si="4"/>
        <v>6090.8126098613611</v>
      </c>
      <c r="C52" s="322">
        <f t="shared" si="0"/>
        <v>33.956280299977088</v>
      </c>
      <c r="D52" s="323">
        <f t="shared" si="1"/>
        <v>1510.0285407501444</v>
      </c>
      <c r="E52" s="322">
        <f t="shared" si="3"/>
        <v>4580.7840691112169</v>
      </c>
      <c r="F52" s="324" t="s">
        <v>340</v>
      </c>
      <c r="G52" s="314">
        <v>2019</v>
      </c>
    </row>
    <row r="53" spans="1:7" x14ac:dyDescent="0.3">
      <c r="A53" s="314">
        <v>46</v>
      </c>
      <c r="B53" s="319">
        <f t="shared" si="4"/>
        <v>4580.7840691112169</v>
      </c>
      <c r="C53" s="322">
        <f t="shared" si="0"/>
        <v>25.537871185295035</v>
      </c>
      <c r="D53" s="323">
        <f t="shared" si="1"/>
        <v>1518.4469498648266</v>
      </c>
      <c r="E53" s="322">
        <f t="shared" si="3"/>
        <v>3062.3371192463901</v>
      </c>
      <c r="F53" s="324" t="s">
        <v>341</v>
      </c>
      <c r="G53" s="314">
        <v>2019</v>
      </c>
    </row>
    <row r="54" spans="1:7" x14ac:dyDescent="0.3">
      <c r="A54" s="314">
        <v>47</v>
      </c>
      <c r="B54" s="319">
        <f t="shared" si="4"/>
        <v>3062.3371192463901</v>
      </c>
      <c r="C54" s="322">
        <f t="shared" si="0"/>
        <v>17.072529439798625</v>
      </c>
      <c r="D54" s="323">
        <f t="shared" si="1"/>
        <v>1526.9122916103229</v>
      </c>
      <c r="E54" s="322">
        <f t="shared" si="3"/>
        <v>1535.4248276360672</v>
      </c>
      <c r="F54" s="324" t="s">
        <v>287</v>
      </c>
      <c r="G54" s="314">
        <v>2019</v>
      </c>
    </row>
    <row r="55" spans="1:7" x14ac:dyDescent="0.3">
      <c r="A55" s="314">
        <v>48</v>
      </c>
      <c r="B55" s="319">
        <f t="shared" si="4"/>
        <v>1535.4248276360672</v>
      </c>
      <c r="C55" s="322">
        <f t="shared" si="0"/>
        <v>8.5599934140710747</v>
      </c>
      <c r="D55" s="323">
        <f t="shared" si="1"/>
        <v>1535.4248276360504</v>
      </c>
      <c r="E55" s="322">
        <f t="shared" si="3"/>
        <v>1.6825651982799172E-11</v>
      </c>
      <c r="F55" s="324" t="s">
        <v>342</v>
      </c>
      <c r="G55" s="314">
        <v>2019</v>
      </c>
    </row>
    <row r="56" spans="1:7" x14ac:dyDescent="0.3">
      <c r="A56" s="325" t="s">
        <v>68</v>
      </c>
      <c r="B56" s="326"/>
      <c r="C56" s="327">
        <f>SUM(C8:C55)</f>
        <v>9245.2714104058432</v>
      </c>
      <c r="D56" s="327">
        <f>SUM(D8:D55)</f>
        <v>64865.999999999993</v>
      </c>
      <c r="E56" s="322"/>
      <c r="F56" s="324"/>
      <c r="G56" s="314"/>
    </row>
    <row r="57" spans="1:7" x14ac:dyDescent="0.3">
      <c r="A57" s="314"/>
      <c r="B57" s="319"/>
      <c r="C57" s="312" t="s">
        <v>278</v>
      </c>
      <c r="D57" s="313" t="s">
        <v>279</v>
      </c>
      <c r="E57" s="322"/>
      <c r="F57" s="324"/>
      <c r="G57" s="3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69"/>
  <sheetViews>
    <sheetView topLeftCell="P1" zoomScale="85" zoomScaleNormal="85" workbookViewId="0">
      <selection activeCell="P2" sqref="P2"/>
    </sheetView>
  </sheetViews>
  <sheetFormatPr defaultRowHeight="14.4" x14ac:dyDescent="0.3"/>
  <cols>
    <col min="1" max="1" width="14.5546875" customWidth="1"/>
    <col min="2" max="2" width="9.109375" customWidth="1"/>
    <col min="14" max="14" width="14.109375" customWidth="1"/>
    <col min="15" max="15" width="11" customWidth="1"/>
    <col min="16" max="16" width="13.5546875" customWidth="1"/>
    <col min="17" max="17" width="11.88671875" customWidth="1"/>
    <col min="19" max="19" width="54" customWidth="1"/>
    <col min="20" max="20" width="10" customWidth="1"/>
    <col min="21" max="21" width="11.44140625" customWidth="1"/>
    <col min="22" max="22" width="11" customWidth="1"/>
    <col min="23" max="23" width="11.44140625" customWidth="1"/>
    <col min="24" max="24" width="9.6640625" customWidth="1"/>
    <col min="25" max="25" width="10.5546875" customWidth="1"/>
    <col min="26" max="26" width="12.88671875" customWidth="1"/>
    <col min="27" max="27" width="10.109375" customWidth="1"/>
    <col min="28" max="28" width="9.6640625" customWidth="1"/>
    <col min="29" max="29" width="12.88671875" customWidth="1"/>
    <col min="30" max="30" width="11.44140625" customWidth="1"/>
    <col min="31" max="31" width="11" customWidth="1"/>
    <col min="32" max="32" width="18.5546875" customWidth="1"/>
    <col min="33" max="33" width="25" customWidth="1"/>
    <col min="34" max="34" width="17" customWidth="1"/>
    <col min="35" max="35" width="17.6640625" customWidth="1"/>
  </cols>
  <sheetData>
    <row r="1" spans="1:35" ht="13.5" customHeight="1" x14ac:dyDescent="0.3">
      <c r="A1" s="259" t="s">
        <v>214</v>
      </c>
      <c r="B1" s="260" t="s">
        <v>215</v>
      </c>
      <c r="C1" s="260" t="s">
        <v>216</v>
      </c>
      <c r="D1" s="260" t="s">
        <v>217</v>
      </c>
      <c r="E1" s="260" t="s">
        <v>218</v>
      </c>
      <c r="F1" s="260" t="s">
        <v>219</v>
      </c>
      <c r="G1" s="260" t="s">
        <v>220</v>
      </c>
      <c r="H1" s="261" t="s">
        <v>221</v>
      </c>
      <c r="I1" s="261" t="s">
        <v>222</v>
      </c>
      <c r="J1" s="261" t="s">
        <v>223</v>
      </c>
      <c r="K1" s="261" t="s">
        <v>224</v>
      </c>
      <c r="L1" s="261" t="s">
        <v>225</v>
      </c>
      <c r="M1" s="261" t="s">
        <v>226</v>
      </c>
      <c r="N1" s="262" t="s">
        <v>227</v>
      </c>
      <c r="O1" s="263" t="s">
        <v>228</v>
      </c>
      <c r="S1" s="421" t="s">
        <v>258</v>
      </c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3"/>
    </row>
    <row r="2" spans="1:35" ht="38.25" customHeight="1" x14ac:dyDescent="0.25">
      <c r="A2" s="260" t="s">
        <v>229</v>
      </c>
      <c r="B2" s="264">
        <v>202380.82613000018</v>
      </c>
      <c r="C2" s="264">
        <f>B6</f>
        <v>146070.7787983336</v>
      </c>
      <c r="D2" s="264">
        <f t="shared" ref="D2:M2" si="0">C6</f>
        <v>117475.7551325003</v>
      </c>
      <c r="E2" s="264">
        <f t="shared" si="0"/>
        <v>126227.24329958364</v>
      </c>
      <c r="F2" s="264">
        <f t="shared" si="0"/>
        <v>130590.48738312532</v>
      </c>
      <c r="G2" s="264">
        <f t="shared" si="0"/>
        <v>133119.10942489616</v>
      </c>
      <c r="H2" s="264">
        <f t="shared" si="0"/>
        <v>143785.05471244809</v>
      </c>
      <c r="I2" s="264">
        <f t="shared" si="0"/>
        <v>139358.39308955753</v>
      </c>
      <c r="J2" s="264">
        <f t="shared" si="0"/>
        <v>137145.06227811228</v>
      </c>
      <c r="K2" s="264">
        <f t="shared" si="0"/>
        <v>136066.44687238964</v>
      </c>
      <c r="L2" s="264">
        <f t="shared" si="0"/>
        <v>134522.63916952783</v>
      </c>
      <c r="M2" s="264">
        <f t="shared" si="0"/>
        <v>134586.7353180974</v>
      </c>
      <c r="N2" s="265"/>
      <c r="S2" s="424" t="s">
        <v>354</v>
      </c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6"/>
    </row>
    <row r="3" spans="1:35" ht="35.25" customHeight="1" x14ac:dyDescent="0.25">
      <c r="A3" s="273" t="s">
        <v>230</v>
      </c>
      <c r="B3" s="274">
        <f>128759.731466667-39999+1000</f>
        <v>89760.731466666999</v>
      </c>
      <c r="C3" s="274">
        <f>128759.731466667-41578+1000+350+49+300</f>
        <v>88880.731466666999</v>
      </c>
      <c r="D3" s="274">
        <f>128759.731466667+2658+3561</f>
        <v>134978.731466667</v>
      </c>
      <c r="E3" s="274">
        <f>128759.731466667-58778+60000+4072+900</f>
        <v>134953.731466667</v>
      </c>
      <c r="F3" s="274">
        <f>128759.731466667+5689+500+500+199</f>
        <v>135647.731466667</v>
      </c>
      <c r="G3" s="274">
        <f>135450+19000+1</f>
        <v>154451</v>
      </c>
      <c r="H3" s="274">
        <f>128759.731466667+6072+100</f>
        <v>134931.731466667</v>
      </c>
      <c r="I3" s="274">
        <f>128759.731466667+6072+100</f>
        <v>134931.731466667</v>
      </c>
      <c r="J3" s="274">
        <f>128759.731466667-12563+10000+5590.1+3201</f>
        <v>134987.831466667</v>
      </c>
      <c r="K3" s="274">
        <f>128759.731466666-4766+5590.1+2795+600</f>
        <v>132978.83146666602</v>
      </c>
      <c r="L3" s="274">
        <f>128759.731466667+5590.1+300+1</f>
        <v>134650.831466667</v>
      </c>
      <c r="M3" s="274">
        <f>128759.731466667-15231+5590.1+6072+6072+3201-500</f>
        <v>133963.831466667</v>
      </c>
      <c r="N3" s="275">
        <f>SUM(B3:M3)</f>
        <v>1545117.4461333361</v>
      </c>
      <c r="O3" s="266">
        <v>1545116.7776000001</v>
      </c>
      <c r="P3" s="267" t="s">
        <v>231</v>
      </c>
      <c r="S3" s="427" t="s">
        <v>353</v>
      </c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9"/>
    </row>
    <row r="4" spans="1:35" ht="21" customHeight="1" x14ac:dyDescent="0.25">
      <c r="A4" s="260" t="s">
        <v>232</v>
      </c>
      <c r="B4" s="261">
        <f>SUM(B2:B3)</f>
        <v>292141.5575966672</v>
      </c>
      <c r="C4" s="261">
        <f t="shared" ref="C4:M4" si="1">SUM(C2:C3)</f>
        <v>234951.5102650006</v>
      </c>
      <c r="D4" s="261">
        <f t="shared" si="1"/>
        <v>252454.48659916729</v>
      </c>
      <c r="E4" s="261">
        <f>SUM(E2:E3)</f>
        <v>261180.97476625064</v>
      </c>
      <c r="F4" s="261">
        <f>SUM(F2:F3)</f>
        <v>266238.21884979232</v>
      </c>
      <c r="G4" s="261">
        <f>SUM(G2:G3)</f>
        <v>287570.10942489619</v>
      </c>
      <c r="H4" s="261">
        <f>SUM(H2:H3)</f>
        <v>278716.78617911506</v>
      </c>
      <c r="I4" s="261">
        <f t="shared" si="1"/>
        <v>274290.12455622456</v>
      </c>
      <c r="J4" s="261">
        <f t="shared" si="1"/>
        <v>272132.89374477929</v>
      </c>
      <c r="K4" s="261">
        <f t="shared" si="1"/>
        <v>269045.27833905566</v>
      </c>
      <c r="L4" s="261">
        <f t="shared" si="1"/>
        <v>269173.4706361948</v>
      </c>
      <c r="M4" s="261">
        <f t="shared" si="1"/>
        <v>268550.56678476441</v>
      </c>
      <c r="N4" s="268"/>
      <c r="P4" s="267"/>
      <c r="S4" s="27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279" t="s">
        <v>243</v>
      </c>
      <c r="AG4" s="280" t="s">
        <v>244</v>
      </c>
    </row>
    <row r="5" spans="1:35" ht="15" x14ac:dyDescent="0.25">
      <c r="A5" s="260" t="s">
        <v>233</v>
      </c>
      <c r="B5" s="269">
        <f>0.5*B3 + 0.5*B2</f>
        <v>146070.7787983336</v>
      </c>
      <c r="C5" s="269">
        <f t="shared" ref="C5:M5" si="2">0.5*C3 + 0.5*C2</f>
        <v>117475.7551325003</v>
      </c>
      <c r="D5" s="269">
        <f t="shared" si="2"/>
        <v>126227.24329958364</v>
      </c>
      <c r="E5" s="269">
        <f t="shared" si="2"/>
        <v>130590.48738312532</v>
      </c>
      <c r="F5" s="269">
        <f t="shared" si="2"/>
        <v>133119.10942489616</v>
      </c>
      <c r="G5" s="269">
        <f t="shared" si="2"/>
        <v>143785.05471244809</v>
      </c>
      <c r="H5" s="269">
        <f t="shared" si="2"/>
        <v>139358.39308955753</v>
      </c>
      <c r="I5" s="269">
        <f t="shared" si="2"/>
        <v>137145.06227811228</v>
      </c>
      <c r="J5" s="269">
        <f t="shared" si="2"/>
        <v>136066.44687238964</v>
      </c>
      <c r="K5" s="269">
        <f t="shared" si="2"/>
        <v>134522.63916952783</v>
      </c>
      <c r="L5" s="269">
        <f t="shared" si="2"/>
        <v>134586.7353180974</v>
      </c>
      <c r="M5" s="269">
        <f t="shared" si="2"/>
        <v>134275.2833923822</v>
      </c>
      <c r="N5" s="270">
        <f>SUM(B5:M5)</f>
        <v>1613222.9888709541</v>
      </c>
      <c r="P5" s="267" t="s">
        <v>231</v>
      </c>
      <c r="S5" s="278"/>
      <c r="T5" s="281">
        <v>42186</v>
      </c>
      <c r="U5" s="281">
        <v>42217</v>
      </c>
      <c r="V5" s="281">
        <v>42248</v>
      </c>
      <c r="W5" s="281">
        <v>42278</v>
      </c>
      <c r="X5" s="281">
        <v>42309</v>
      </c>
      <c r="Y5" s="281">
        <v>42339</v>
      </c>
      <c r="Z5" s="281">
        <v>42370</v>
      </c>
      <c r="AA5" s="281">
        <v>42401</v>
      </c>
      <c r="AB5" s="281">
        <v>42430</v>
      </c>
      <c r="AC5" s="281">
        <v>42461</v>
      </c>
      <c r="AD5" s="281">
        <v>42491</v>
      </c>
      <c r="AE5" s="281">
        <v>42522</v>
      </c>
      <c r="AF5" s="281" t="s">
        <v>245</v>
      </c>
      <c r="AG5" s="282" t="s">
        <v>12</v>
      </c>
      <c r="AH5" s="328"/>
      <c r="AI5" s="9" t="s">
        <v>246</v>
      </c>
    </row>
    <row r="6" spans="1:35" ht="30" customHeight="1" x14ac:dyDescent="0.25">
      <c r="A6" s="260" t="s">
        <v>234</v>
      </c>
      <c r="B6" s="261">
        <f>B4-B5</f>
        <v>146070.7787983336</v>
      </c>
      <c r="C6" s="261">
        <f t="shared" ref="C6:M6" si="3">C4-C5</f>
        <v>117475.7551325003</v>
      </c>
      <c r="D6" s="261">
        <f t="shared" si="3"/>
        <v>126227.24329958364</v>
      </c>
      <c r="E6" s="261">
        <f t="shared" si="3"/>
        <v>130590.48738312532</v>
      </c>
      <c r="F6" s="261">
        <f t="shared" si="3"/>
        <v>133119.10942489616</v>
      </c>
      <c r="G6" s="261">
        <f t="shared" si="3"/>
        <v>143785.05471244809</v>
      </c>
      <c r="H6" s="261">
        <f t="shared" si="3"/>
        <v>139358.39308955753</v>
      </c>
      <c r="I6" s="261">
        <f t="shared" si="3"/>
        <v>137145.06227811228</v>
      </c>
      <c r="J6" s="261">
        <f t="shared" si="3"/>
        <v>136066.44687238964</v>
      </c>
      <c r="K6" s="261">
        <f t="shared" si="3"/>
        <v>134522.63916952783</v>
      </c>
      <c r="L6" s="261">
        <f t="shared" si="3"/>
        <v>134586.7353180974</v>
      </c>
      <c r="M6" s="261">
        <f t="shared" si="3"/>
        <v>134275.2833923822</v>
      </c>
      <c r="N6" s="266"/>
      <c r="O6" s="276"/>
      <c r="P6" s="267"/>
      <c r="S6" s="278"/>
      <c r="T6" s="281" t="s">
        <v>247</v>
      </c>
      <c r="U6" s="281" t="s">
        <v>247</v>
      </c>
      <c r="V6" s="281" t="s">
        <v>247</v>
      </c>
      <c r="W6" s="281" t="s">
        <v>247</v>
      </c>
      <c r="X6" s="281" t="s">
        <v>247</v>
      </c>
      <c r="Y6" s="281" t="s">
        <v>247</v>
      </c>
      <c r="Z6" s="281" t="s">
        <v>247</v>
      </c>
      <c r="AA6" s="281" t="s">
        <v>247</v>
      </c>
      <c r="AB6" s="281" t="s">
        <v>247</v>
      </c>
      <c r="AC6" s="281" t="s">
        <v>247</v>
      </c>
      <c r="AD6" s="281" t="s">
        <v>247</v>
      </c>
      <c r="AE6" s="281" t="s">
        <v>247</v>
      </c>
      <c r="AF6" s="283" t="s">
        <v>247</v>
      </c>
      <c r="AG6" s="283" t="s">
        <v>247</v>
      </c>
      <c r="AH6" s="284"/>
    </row>
    <row r="7" spans="1:35" ht="15" x14ac:dyDescent="0.25">
      <c r="A7" s="271" t="s">
        <v>235</v>
      </c>
      <c r="B7" s="272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66"/>
      <c r="S7" s="27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285"/>
      <c r="AH7" s="160"/>
    </row>
    <row r="8" spans="1:35" ht="15" x14ac:dyDescent="0.25">
      <c r="A8" s="271" t="s">
        <v>236</v>
      </c>
      <c r="B8" s="272">
        <f t="shared" ref="B8:M8" si="4">B5+B7</f>
        <v>146070.7787983336</v>
      </c>
      <c r="C8" s="272">
        <f t="shared" si="4"/>
        <v>117475.7551325003</v>
      </c>
      <c r="D8" s="272">
        <f t="shared" si="4"/>
        <v>126227.24329958364</v>
      </c>
      <c r="E8" s="272">
        <f t="shared" si="4"/>
        <v>130590.48738312532</v>
      </c>
      <c r="F8" s="272">
        <f t="shared" si="4"/>
        <v>133119.10942489616</v>
      </c>
      <c r="G8" s="272">
        <f t="shared" si="4"/>
        <v>143785.05471244809</v>
      </c>
      <c r="H8" s="272">
        <f t="shared" si="4"/>
        <v>139358.39308955753</v>
      </c>
      <c r="I8" s="272">
        <f t="shared" si="4"/>
        <v>137145.06227811228</v>
      </c>
      <c r="J8" s="272">
        <f t="shared" si="4"/>
        <v>136066.44687238964</v>
      </c>
      <c r="K8" s="272">
        <f t="shared" si="4"/>
        <v>134522.63916952783</v>
      </c>
      <c r="L8" s="272">
        <f t="shared" si="4"/>
        <v>134586.7353180974</v>
      </c>
      <c r="M8" s="272">
        <f t="shared" si="4"/>
        <v>134275.2833923822</v>
      </c>
      <c r="N8" s="266">
        <f>SUM(B8:M8)</f>
        <v>1613222.9888709541</v>
      </c>
      <c r="P8" s="277"/>
      <c r="S8" s="278" t="s">
        <v>248</v>
      </c>
      <c r="T8" s="340">
        <f>SUM('Stat Fin Position'!C7:C9)</f>
        <v>-56845</v>
      </c>
      <c r="U8" s="286">
        <f t="shared" ref="U8:AE8" si="5">T65</f>
        <v>-34421.856605333043</v>
      </c>
      <c r="V8" s="286">
        <f t="shared" si="5"/>
        <v>-11699.682627749396</v>
      </c>
      <c r="W8" s="286">
        <f t="shared" si="5"/>
        <v>-8334.0204830824368</v>
      </c>
      <c r="X8" s="286">
        <f t="shared" si="5"/>
        <v>-25369.528772760226</v>
      </c>
      <c r="Y8" s="286">
        <f t="shared" si="5"/>
        <v>-45337.114863530718</v>
      </c>
      <c r="Z8" s="286">
        <f t="shared" si="5"/>
        <v>-23143.267906499299</v>
      </c>
      <c r="AA8" s="286">
        <f t="shared" si="5"/>
        <v>-32212.024032310233</v>
      </c>
      <c r="AB8" s="286">
        <f t="shared" si="5"/>
        <v>-2366.170109614628</v>
      </c>
      <c r="AC8" s="286">
        <f t="shared" si="5"/>
        <v>27097.668407358331</v>
      </c>
      <c r="AD8" s="286">
        <f t="shared" si="5"/>
        <v>34440.655472373153</v>
      </c>
      <c r="AE8" s="286">
        <f t="shared" si="5"/>
        <v>63344.182435053881</v>
      </c>
      <c r="AF8" s="286"/>
      <c r="AG8" s="285"/>
      <c r="AH8" s="160"/>
      <c r="AI8" t="s">
        <v>313</v>
      </c>
    </row>
    <row r="9" spans="1:35" ht="15" x14ac:dyDescent="0.25">
      <c r="S9" s="278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285"/>
      <c r="AH9" s="160"/>
    </row>
    <row r="10" spans="1:35" ht="15" x14ac:dyDescent="0.25">
      <c r="S10" s="287" t="s">
        <v>249</v>
      </c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285"/>
      <c r="AH10" s="160"/>
      <c r="AI10" s="300"/>
    </row>
    <row r="11" spans="1:35" ht="15" x14ac:dyDescent="0.25">
      <c r="A11" t="s">
        <v>237</v>
      </c>
      <c r="B11" t="s">
        <v>238</v>
      </c>
      <c r="P11" s="277"/>
      <c r="S11" s="291" t="s">
        <v>250</v>
      </c>
      <c r="T11" s="288">
        <f>B8</f>
        <v>146070.7787983336</v>
      </c>
      <c r="U11" s="288">
        <f t="shared" ref="U11:AF11" si="6">C8</f>
        <v>117475.7551325003</v>
      </c>
      <c r="V11" s="288">
        <f t="shared" si="6"/>
        <v>126227.24329958364</v>
      </c>
      <c r="W11" s="288">
        <f t="shared" si="6"/>
        <v>130590.48738312532</v>
      </c>
      <c r="X11" s="288">
        <f t="shared" si="6"/>
        <v>133119.10942489616</v>
      </c>
      <c r="Y11" s="288">
        <f t="shared" si="6"/>
        <v>143785.05471244809</v>
      </c>
      <c r="Z11" s="288">
        <f t="shared" si="6"/>
        <v>139358.39308955753</v>
      </c>
      <c r="AA11" s="288">
        <f t="shared" si="6"/>
        <v>137145.06227811228</v>
      </c>
      <c r="AB11" s="288">
        <f t="shared" si="6"/>
        <v>136066.44687238964</v>
      </c>
      <c r="AC11" s="288">
        <f t="shared" si="6"/>
        <v>134522.63916952783</v>
      </c>
      <c r="AD11" s="288">
        <f t="shared" si="6"/>
        <v>134586.7353180974</v>
      </c>
      <c r="AE11" s="288">
        <f t="shared" si="6"/>
        <v>134275.2833923822</v>
      </c>
      <c r="AF11" s="288">
        <f t="shared" si="6"/>
        <v>1613222.9888709541</v>
      </c>
      <c r="AG11" s="290">
        <f>N5</f>
        <v>1613222.9888709541</v>
      </c>
      <c r="AH11" s="160"/>
      <c r="AI11" s="300" t="s">
        <v>251</v>
      </c>
    </row>
    <row r="12" spans="1:35" ht="15" x14ac:dyDescent="0.25">
      <c r="B12" t="s">
        <v>239</v>
      </c>
      <c r="S12" s="287" t="s">
        <v>259</v>
      </c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162"/>
      <c r="AG12" s="292" t="s">
        <v>262</v>
      </c>
      <c r="AH12" s="334" t="s">
        <v>263</v>
      </c>
      <c r="AI12" s="300"/>
    </row>
    <row r="13" spans="1:35" ht="15" x14ac:dyDescent="0.25">
      <c r="B13" t="s">
        <v>240</v>
      </c>
      <c r="S13" s="299" t="s">
        <v>260</v>
      </c>
      <c r="T13" s="329">
        <f>(AG13/12)-18000</f>
        <v>15812.716666666667</v>
      </c>
      <c r="U13" s="329">
        <f>(33812.72)-16500</f>
        <v>17312.72</v>
      </c>
      <c r="V13" s="329">
        <f>(33812.72)+6200</f>
        <v>40012.720000000001</v>
      </c>
      <c r="W13" s="329">
        <f>(33812.72)+6100</f>
        <v>39912.720000000001</v>
      </c>
      <c r="X13" s="329">
        <f>(33812.72)+7890</f>
        <v>41702.720000000001</v>
      </c>
      <c r="Y13" s="329">
        <f>(33812.72)+10950-145.0006</f>
        <v>44617.719400000002</v>
      </c>
      <c r="Z13" s="329">
        <f>(33812.72)+550</f>
        <v>34362.720000000001</v>
      </c>
      <c r="AA13" s="329">
        <f>(33812.72)+590</f>
        <v>34402.720000000001</v>
      </c>
      <c r="AB13" s="329">
        <f>(33812.72)+655</f>
        <v>34467.72</v>
      </c>
      <c r="AC13" s="329">
        <f>(33812.72)+550</f>
        <v>34362.720000000001</v>
      </c>
      <c r="AD13" s="329">
        <f>(33812.72)+620</f>
        <v>34432.720000000001</v>
      </c>
      <c r="AE13" s="329">
        <f>(33812.72)+540-0.04</f>
        <v>34352.68</v>
      </c>
      <c r="AF13" s="329">
        <f>SUM(T13:AE13)</f>
        <v>405752.59606666659</v>
      </c>
      <c r="AG13" s="329">
        <f>AH13*1.1</f>
        <v>405752.60000000003</v>
      </c>
      <c r="AH13" s="335">
        <v>368866</v>
      </c>
      <c r="AI13" s="300"/>
    </row>
    <row r="14" spans="1:35" ht="15" x14ac:dyDescent="0.25">
      <c r="B14" t="s">
        <v>241</v>
      </c>
      <c r="R14" s="7"/>
      <c r="S14" s="299" t="s">
        <v>261</v>
      </c>
      <c r="T14" s="329">
        <f>(AG14/12)-2700</f>
        <v>813.76666666666688</v>
      </c>
      <c r="U14" s="329">
        <f>(3513.767)-2600</f>
        <v>913.76699999999983</v>
      </c>
      <c r="V14" s="329">
        <f>(3513.767)+600</f>
        <v>4113.7669999999998</v>
      </c>
      <c r="W14" s="329">
        <f>(3513.767)+856</f>
        <v>4369.7669999999998</v>
      </c>
      <c r="X14" s="329">
        <f>(3513.767)+990</f>
        <v>4503.7669999999998</v>
      </c>
      <c r="Y14" s="329">
        <f>(3513.767)+1870-113</f>
        <v>5270.7669999999998</v>
      </c>
      <c r="Z14" s="329">
        <f>(3513.767)+200</f>
        <v>3713.7669999999998</v>
      </c>
      <c r="AA14" s="329">
        <f>(3513.767)+321</f>
        <v>3834.7669999999998</v>
      </c>
      <c r="AB14" s="329">
        <f>(3513.767)+145</f>
        <v>3658.7669999999998</v>
      </c>
      <c r="AC14" s="329">
        <f>(3513.767)+124</f>
        <v>3637.7669999999998</v>
      </c>
      <c r="AD14" s="329">
        <f>(3513.767)+208</f>
        <v>3721.7669999999998</v>
      </c>
      <c r="AE14" s="329">
        <f>(3513.767)+99</f>
        <v>3612.7669999999998</v>
      </c>
      <c r="AF14" s="329">
        <f t="shared" ref="AF14:AF56" si="7">SUM(T14:AE14)</f>
        <v>42165.203666666668</v>
      </c>
      <c r="AG14" s="329">
        <f t="shared" ref="AG14:AG33" si="8">AH14*1.1</f>
        <v>42165.200000000004</v>
      </c>
      <c r="AH14" s="335">
        <v>38332</v>
      </c>
      <c r="AI14" s="300" t="s">
        <v>252</v>
      </c>
    </row>
    <row r="15" spans="1:35" ht="15" x14ac:dyDescent="0.25">
      <c r="R15" s="7"/>
      <c r="S15" s="346" t="s">
        <v>176</v>
      </c>
      <c r="T15" s="250">
        <f>AG15/12</f>
        <v>100.28333333333335</v>
      </c>
      <c r="U15" s="250">
        <v>100.28</v>
      </c>
      <c r="V15" s="250">
        <v>100.28</v>
      </c>
      <c r="W15" s="250">
        <v>100.28</v>
      </c>
      <c r="X15" s="250">
        <v>100.28</v>
      </c>
      <c r="Y15" s="250">
        <v>100.28</v>
      </c>
      <c r="Z15" s="250">
        <v>100.28</v>
      </c>
      <c r="AA15" s="250">
        <v>100.28</v>
      </c>
      <c r="AB15" s="250">
        <v>100.28</v>
      </c>
      <c r="AC15" s="250">
        <v>100.28</v>
      </c>
      <c r="AD15" s="250">
        <v>100.28</v>
      </c>
      <c r="AE15" s="250">
        <f>100.28+0.04</f>
        <v>100.32000000000001</v>
      </c>
      <c r="AF15" s="348">
        <f t="shared" si="7"/>
        <v>1203.4033333333332</v>
      </c>
      <c r="AG15" s="348">
        <f t="shared" si="8"/>
        <v>1203.4000000000001</v>
      </c>
      <c r="AH15" s="336">
        <v>1094</v>
      </c>
      <c r="AI15" s="300"/>
    </row>
    <row r="16" spans="1:35" ht="15" x14ac:dyDescent="0.25">
      <c r="R16" s="7"/>
      <c r="S16" s="346" t="s">
        <v>153</v>
      </c>
      <c r="T16" s="250">
        <f>(AG16/12)-50</f>
        <v>175.5916666666667</v>
      </c>
      <c r="U16" s="250">
        <f>(225.59)-80</f>
        <v>145.59</v>
      </c>
      <c r="V16" s="250">
        <f>(225.59)-20</f>
        <v>205.59</v>
      </c>
      <c r="W16" s="250">
        <f>(225.59)+25</f>
        <v>250.59</v>
      </c>
      <c r="X16" s="250">
        <f>(225.59)+50-8.98</f>
        <v>266.61</v>
      </c>
      <c r="Y16" s="250">
        <f>(225.59)+60</f>
        <v>285.59000000000003</v>
      </c>
      <c r="Z16" s="250">
        <f>(225.59)+28</f>
        <v>253.59</v>
      </c>
      <c r="AA16" s="250">
        <f>(225.59)+26</f>
        <v>251.59</v>
      </c>
      <c r="AB16" s="250">
        <f>(225.59)-7</f>
        <v>218.59</v>
      </c>
      <c r="AC16" s="250">
        <f>(225.59)-18</f>
        <v>207.59</v>
      </c>
      <c r="AD16" s="250">
        <f>(225.59)+5</f>
        <v>230.59</v>
      </c>
      <c r="AE16" s="250">
        <f>(225.59)-10</f>
        <v>215.59</v>
      </c>
      <c r="AF16" s="348">
        <f t="shared" si="7"/>
        <v>2707.1016666666674</v>
      </c>
      <c r="AG16" s="348">
        <f t="shared" si="8"/>
        <v>2707.1000000000004</v>
      </c>
      <c r="AH16" s="336">
        <v>2461</v>
      </c>
      <c r="AI16" s="300" t="s">
        <v>304</v>
      </c>
    </row>
    <row r="17" spans="15:45" ht="15" x14ac:dyDescent="0.25">
      <c r="R17" s="7"/>
      <c r="S17" s="346" t="s">
        <v>147</v>
      </c>
      <c r="T17" s="250">
        <f>(AG17/12)-8</f>
        <v>151.40833333333333</v>
      </c>
      <c r="U17" s="250">
        <f>(159.41)-15</f>
        <v>144.41</v>
      </c>
      <c r="V17" s="250">
        <f>(159.41)+12</f>
        <v>171.41</v>
      </c>
      <c r="W17" s="250">
        <f>(159.41)+31</f>
        <v>190.41</v>
      </c>
      <c r="X17" s="250">
        <f>(159.41)+15</f>
        <v>174.41</v>
      </c>
      <c r="Y17" s="250">
        <f>(159.41)+18</f>
        <v>177.41</v>
      </c>
      <c r="Z17" s="250">
        <f>(159.41)-9</f>
        <v>150.41</v>
      </c>
      <c r="AA17" s="250">
        <f>(159.41)-20</f>
        <v>139.41</v>
      </c>
      <c r="AB17" s="250">
        <f>(159.41)+15</f>
        <v>174.41</v>
      </c>
      <c r="AC17" s="250">
        <f>(159.41)+14</f>
        <v>173.41</v>
      </c>
      <c r="AD17" s="250">
        <f>(159.41)-23</f>
        <v>136.41</v>
      </c>
      <c r="AE17" s="250">
        <f>(159.41)-30-0.02</f>
        <v>129.38999999999999</v>
      </c>
      <c r="AF17" s="348">
        <f t="shared" si="7"/>
        <v>1912.8983333333335</v>
      </c>
      <c r="AG17" s="348">
        <f t="shared" si="8"/>
        <v>1912.9</v>
      </c>
      <c r="AH17" s="336">
        <v>1739</v>
      </c>
      <c r="AI17" s="300"/>
    </row>
    <row r="18" spans="15:45" ht="15" x14ac:dyDescent="0.25">
      <c r="R18" s="7"/>
      <c r="S18" s="372" t="s">
        <v>210</v>
      </c>
      <c r="T18" s="250">
        <f>(AG18/12)-80</f>
        <v>195.00000000000006</v>
      </c>
      <c r="U18" s="250">
        <f>(275)-65</f>
        <v>210</v>
      </c>
      <c r="V18" s="250">
        <f>(275)+7</f>
        <v>282</v>
      </c>
      <c r="W18" s="250">
        <f>(275)+13</f>
        <v>288</v>
      </c>
      <c r="X18" s="250">
        <f>(275)+31-14</f>
        <v>292</v>
      </c>
      <c r="Y18" s="250">
        <f>(275)+50</f>
        <v>325</v>
      </c>
      <c r="Z18" s="250">
        <f>(275)+27</f>
        <v>302</v>
      </c>
      <c r="AA18" s="250">
        <f>(275)+14</f>
        <v>289</v>
      </c>
      <c r="AB18" s="250">
        <f>(275)+9</f>
        <v>284</v>
      </c>
      <c r="AC18" s="250">
        <f>(275)+5</f>
        <v>280</v>
      </c>
      <c r="AD18" s="250">
        <f>(275)+3</f>
        <v>278</v>
      </c>
      <c r="AE18" s="250">
        <v>275</v>
      </c>
      <c r="AF18" s="348">
        <f t="shared" si="7"/>
        <v>3300</v>
      </c>
      <c r="AG18" s="348">
        <f t="shared" si="8"/>
        <v>3300.0000000000005</v>
      </c>
      <c r="AH18" s="336">
        <v>3000</v>
      </c>
      <c r="AI18" s="300"/>
    </row>
    <row r="19" spans="15:45" ht="15" x14ac:dyDescent="0.25">
      <c r="O19" s="10"/>
      <c r="Q19" s="10"/>
      <c r="R19" s="7"/>
      <c r="S19" s="346" t="s">
        <v>4</v>
      </c>
      <c r="T19" s="250">
        <f>(AG19/12)-350</f>
        <v>468.2166666666667</v>
      </c>
      <c r="U19" s="250">
        <f>(818.22)-180</f>
        <v>638.22</v>
      </c>
      <c r="V19" s="250">
        <f>(818.22)+58</f>
        <v>876.22</v>
      </c>
      <c r="W19" s="250">
        <f>(818.22)+89</f>
        <v>907.22</v>
      </c>
      <c r="X19" s="250">
        <f>(818.22)+131</f>
        <v>949.22</v>
      </c>
      <c r="Y19" s="250">
        <f>(818.22)+268</f>
        <v>1086.22</v>
      </c>
      <c r="Z19" s="250">
        <f>(818.22)+40</f>
        <v>858.22</v>
      </c>
      <c r="AA19" s="250">
        <f>(818.22)+160</f>
        <v>978.22</v>
      </c>
      <c r="AB19" s="250">
        <f>(818.22)+110</f>
        <v>928.22</v>
      </c>
      <c r="AC19" s="250">
        <f>(818.22)-136</f>
        <v>682.22</v>
      </c>
      <c r="AD19" s="250">
        <f>(818.22)-110</f>
        <v>708.22</v>
      </c>
      <c r="AE19" s="250">
        <f>(818.22)-80-0.04</f>
        <v>738.18000000000006</v>
      </c>
      <c r="AF19" s="348">
        <f t="shared" si="7"/>
        <v>9818.5966666666682</v>
      </c>
      <c r="AG19" s="348">
        <f t="shared" si="8"/>
        <v>9818.6</v>
      </c>
      <c r="AH19" s="336">
        <v>8926</v>
      </c>
      <c r="AI19" s="300"/>
    </row>
    <row r="20" spans="15:45" ht="15" x14ac:dyDescent="0.25">
      <c r="Q20" s="10"/>
      <c r="R20" s="7"/>
      <c r="S20" s="346" t="s">
        <v>156</v>
      </c>
      <c r="T20" s="250">
        <f>(AG20/12)+97</f>
        <v>1797.325</v>
      </c>
      <c r="U20" s="250">
        <f>(1700.33)+145</f>
        <v>1845.33</v>
      </c>
      <c r="V20" s="250">
        <f>(1700.33)+90</f>
        <v>1790.33</v>
      </c>
      <c r="W20" s="250">
        <f>(1700.33)-29</f>
        <v>1671.33</v>
      </c>
      <c r="X20" s="250">
        <f>(1700.33)-150</f>
        <v>1550.33</v>
      </c>
      <c r="Y20" s="250">
        <f>(1700.33)-448</f>
        <v>1252.33</v>
      </c>
      <c r="Z20" s="250">
        <f>(1700.33)+75</f>
        <v>1775.33</v>
      </c>
      <c r="AA20" s="250">
        <f>(1700.33)+13</f>
        <v>1713.33</v>
      </c>
      <c r="AB20" s="250">
        <f>(1700.33)+134</f>
        <v>1834.33</v>
      </c>
      <c r="AC20" s="250">
        <f>(1700.33)+189</f>
        <v>1889.33</v>
      </c>
      <c r="AD20" s="250">
        <f>(1700.33)+112</f>
        <v>1812.33</v>
      </c>
      <c r="AE20" s="250">
        <f>(1700.33)-228-0.06</f>
        <v>1472.27</v>
      </c>
      <c r="AF20" s="348">
        <f t="shared" si="7"/>
        <v>20403.895</v>
      </c>
      <c r="AG20" s="348">
        <f t="shared" si="8"/>
        <v>20403.900000000001</v>
      </c>
      <c r="AH20" s="337">
        <v>18549</v>
      </c>
      <c r="AI20" s="300"/>
    </row>
    <row r="21" spans="15:45" ht="15" x14ac:dyDescent="0.25">
      <c r="O21" s="10"/>
      <c r="P21" s="10"/>
      <c r="R21" s="7"/>
      <c r="S21" s="346" t="s">
        <v>3</v>
      </c>
      <c r="T21" s="250">
        <f t="shared" ref="T21:T56" si="9">AG21/12</f>
        <v>213.4</v>
      </c>
      <c r="U21" s="250">
        <f t="shared" ref="U21:AE46" si="10">T21</f>
        <v>213.4</v>
      </c>
      <c r="V21" s="250">
        <f t="shared" si="10"/>
        <v>213.4</v>
      </c>
      <c r="W21" s="250">
        <f t="shared" si="10"/>
        <v>213.4</v>
      </c>
      <c r="X21" s="250">
        <f t="shared" si="10"/>
        <v>213.4</v>
      </c>
      <c r="Y21" s="250">
        <f t="shared" si="10"/>
        <v>213.4</v>
      </c>
      <c r="Z21" s="250">
        <f t="shared" si="10"/>
        <v>213.4</v>
      </c>
      <c r="AA21" s="250">
        <f t="shared" si="10"/>
        <v>213.4</v>
      </c>
      <c r="AB21" s="250">
        <f t="shared" si="10"/>
        <v>213.4</v>
      </c>
      <c r="AC21" s="250">
        <f t="shared" si="10"/>
        <v>213.4</v>
      </c>
      <c r="AD21" s="250">
        <f t="shared" si="10"/>
        <v>213.4</v>
      </c>
      <c r="AE21" s="250">
        <f t="shared" si="10"/>
        <v>213.4</v>
      </c>
      <c r="AF21" s="348">
        <f t="shared" si="7"/>
        <v>2560.8000000000006</v>
      </c>
      <c r="AG21" s="348">
        <f t="shared" si="8"/>
        <v>2560.8000000000002</v>
      </c>
      <c r="AH21" s="336">
        <v>2328</v>
      </c>
      <c r="AI21" s="300"/>
    </row>
    <row r="22" spans="15:45" ht="15" x14ac:dyDescent="0.25">
      <c r="Q22" s="10"/>
      <c r="R22" s="7"/>
      <c r="S22" s="346" t="s">
        <v>168</v>
      </c>
      <c r="T22" s="250">
        <f>(AG22/12)+18</f>
        <v>917.61666666666679</v>
      </c>
      <c r="U22" s="250">
        <f>(899.62)+13</f>
        <v>912.62</v>
      </c>
      <c r="V22" s="250">
        <f>(899.62)+45</f>
        <v>944.62</v>
      </c>
      <c r="W22" s="250">
        <f>(899.62)-23</f>
        <v>876.62</v>
      </c>
      <c r="X22" s="250">
        <f>(899.62)+9</f>
        <v>908.62</v>
      </c>
      <c r="Y22" s="250">
        <f>(899.62)-4</f>
        <v>895.62</v>
      </c>
      <c r="Z22" s="250">
        <f>(899.62)+24</f>
        <v>923.62</v>
      </c>
      <c r="AA22" s="250">
        <f>(899.62)-44</f>
        <v>855.62</v>
      </c>
      <c r="AB22" s="250">
        <f>(899.62)+11</f>
        <v>910.62</v>
      </c>
      <c r="AC22" s="250">
        <f>(899.62)+8</f>
        <v>907.62</v>
      </c>
      <c r="AD22" s="250">
        <f>(899.62)-12</f>
        <v>887.62</v>
      </c>
      <c r="AE22" s="250">
        <f>(899.62)-45-0.04</f>
        <v>854.58</v>
      </c>
      <c r="AF22" s="348">
        <f t="shared" si="7"/>
        <v>10795.396666666667</v>
      </c>
      <c r="AG22" s="348">
        <f t="shared" si="8"/>
        <v>10795.400000000001</v>
      </c>
      <c r="AH22" s="336">
        <v>9814</v>
      </c>
      <c r="AI22" s="300"/>
    </row>
    <row r="23" spans="15:45" x14ac:dyDescent="0.35">
      <c r="P23" s="10"/>
      <c r="Q23" s="10"/>
      <c r="R23" s="7"/>
      <c r="S23" s="346" t="s">
        <v>169</v>
      </c>
      <c r="T23" s="250">
        <f>(AG23/12)-35</f>
        <v>59.783333333333346</v>
      </c>
      <c r="U23" s="250">
        <f>(94.78)-14</f>
        <v>80.78</v>
      </c>
      <c r="V23" s="250">
        <f>(94.78)+5</f>
        <v>99.78</v>
      </c>
      <c r="W23" s="250">
        <f>(94.78)+11.04</f>
        <v>105.82</v>
      </c>
      <c r="X23" s="250">
        <f>(94.78)+15</f>
        <v>109.78</v>
      </c>
      <c r="Y23" s="250">
        <f>(94.78)+25</f>
        <v>119.78</v>
      </c>
      <c r="Z23" s="250">
        <f>(94.78)+18</f>
        <v>112.78</v>
      </c>
      <c r="AA23" s="250">
        <f>(94.78)+11</f>
        <v>105.78</v>
      </c>
      <c r="AB23" s="250">
        <f>(94.78)+5</f>
        <v>99.78</v>
      </c>
      <c r="AC23" s="250">
        <f>(94.78)-8</f>
        <v>86.78</v>
      </c>
      <c r="AD23" s="250">
        <f>(94.78)-11</f>
        <v>83.78</v>
      </c>
      <c r="AE23" s="250">
        <f>(94.78)-22</f>
        <v>72.78</v>
      </c>
      <c r="AF23" s="348">
        <f t="shared" si="7"/>
        <v>1137.4033333333332</v>
      </c>
      <c r="AG23" s="348">
        <f t="shared" si="8"/>
        <v>1137.4000000000001</v>
      </c>
      <c r="AH23" s="336">
        <v>1034</v>
      </c>
      <c r="AI23" s="300" t="s">
        <v>305</v>
      </c>
      <c r="AM23" t="s">
        <v>306</v>
      </c>
      <c r="AS23" t="s">
        <v>307</v>
      </c>
    </row>
    <row r="24" spans="15:45" x14ac:dyDescent="0.3">
      <c r="Q24" s="10"/>
      <c r="R24" s="7"/>
      <c r="S24" s="346" t="s">
        <v>24</v>
      </c>
      <c r="T24" s="250">
        <f>(AG24/12)-75</f>
        <v>595.90833333333342</v>
      </c>
      <c r="U24" s="250">
        <f>(670.91)+110</f>
        <v>780.91</v>
      </c>
      <c r="V24" s="250">
        <f>(670.91)-12</f>
        <v>658.91</v>
      </c>
      <c r="W24" s="250">
        <f>(670.91)+45</f>
        <v>715.91</v>
      </c>
      <c r="X24" s="250">
        <f>(670.91)+67</f>
        <v>737.91</v>
      </c>
      <c r="Y24" s="250">
        <f>(670.91)-76</f>
        <v>594.91</v>
      </c>
      <c r="Z24" s="250">
        <f>(670.91)+132</f>
        <v>802.91</v>
      </c>
      <c r="AA24" s="250">
        <f>(670.91)-234</f>
        <v>436.90999999999997</v>
      </c>
      <c r="AB24" s="250">
        <f>(670.91)+321</f>
        <v>991.91</v>
      </c>
      <c r="AC24" s="250">
        <f>(670.91)-419</f>
        <v>251.90999999999997</v>
      </c>
      <c r="AD24" s="250">
        <f>(670.91)+54</f>
        <v>724.91</v>
      </c>
      <c r="AE24" s="250">
        <f>(670.91)+87-0.02</f>
        <v>757.89</v>
      </c>
      <c r="AF24" s="348">
        <f t="shared" si="7"/>
        <v>8050.8983333333326</v>
      </c>
      <c r="AG24" s="348">
        <f t="shared" si="8"/>
        <v>8050.9000000000005</v>
      </c>
      <c r="AH24" s="336">
        <v>7319</v>
      </c>
      <c r="AI24" s="300"/>
    </row>
    <row r="25" spans="15:45" x14ac:dyDescent="0.3">
      <c r="Q25" s="10"/>
      <c r="R25" s="7"/>
      <c r="S25" s="346" t="s">
        <v>25</v>
      </c>
      <c r="T25" s="250">
        <f>(AG25/12)+58</f>
        <v>259.39166666666665</v>
      </c>
      <c r="U25" s="250">
        <f>(201.39)+23</f>
        <v>224.39</v>
      </c>
      <c r="V25" s="250">
        <f>(201.39)-59</f>
        <v>142.38999999999999</v>
      </c>
      <c r="W25" s="250">
        <f>(201.39)-101</f>
        <v>100.38999999999999</v>
      </c>
      <c r="X25" s="250">
        <f>(201.39)+45</f>
        <v>246.39</v>
      </c>
      <c r="Y25" s="250">
        <f>(201.39)+67</f>
        <v>268.39</v>
      </c>
      <c r="Z25" s="250">
        <f>(201.39)+23</f>
        <v>224.39</v>
      </c>
      <c r="AA25" s="250">
        <f>(201.39)-16</f>
        <v>185.39</v>
      </c>
      <c r="AB25" s="250">
        <f>(201.39)-8</f>
        <v>193.39</v>
      </c>
      <c r="AC25" s="250">
        <f>(201.39)+53</f>
        <v>254.39</v>
      </c>
      <c r="AD25" s="250">
        <f>(201.39)-79</f>
        <v>122.38999999999999</v>
      </c>
      <c r="AE25" s="250">
        <f>(201.39)-6+0.02</f>
        <v>195.41</v>
      </c>
      <c r="AF25" s="348">
        <f t="shared" si="7"/>
        <v>2416.7016666666659</v>
      </c>
      <c r="AG25" s="348">
        <f t="shared" si="8"/>
        <v>2416.7000000000003</v>
      </c>
      <c r="AH25" s="336">
        <v>2197</v>
      </c>
      <c r="AI25" s="300"/>
    </row>
    <row r="26" spans="15:45" x14ac:dyDescent="0.3">
      <c r="Q26" s="10"/>
      <c r="R26" s="7"/>
      <c r="S26" s="346" t="s">
        <v>159</v>
      </c>
      <c r="T26" s="250">
        <f>(AG26/12)-534</f>
        <v>709.45833333333348</v>
      </c>
      <c r="U26" s="250">
        <f>(1243.46)-424</f>
        <v>819.46</v>
      </c>
      <c r="V26" s="250">
        <f>(1243.46)+87</f>
        <v>1330.46</v>
      </c>
      <c r="W26" s="250">
        <f>(1243.46)+123</f>
        <v>1366.46</v>
      </c>
      <c r="X26" s="250">
        <f>(1243.46)+242</f>
        <v>1485.46</v>
      </c>
      <c r="Y26" s="250">
        <f>(1243.46)+445</f>
        <v>1688.46</v>
      </c>
      <c r="Z26" s="250">
        <f>(1243.46)+234</f>
        <v>1477.46</v>
      </c>
      <c r="AA26" s="250">
        <f>(1243.46)+123</f>
        <v>1366.46</v>
      </c>
      <c r="AB26" s="250">
        <f>(1243.46)-76</f>
        <v>1167.46</v>
      </c>
      <c r="AC26" s="250">
        <f>(1243.46)-234</f>
        <v>1009.46</v>
      </c>
      <c r="AD26" s="250">
        <f>(1243.46)-73</f>
        <v>1170.46</v>
      </c>
      <c r="AE26" s="250">
        <f>(1243.46)+87</f>
        <v>1330.46</v>
      </c>
      <c r="AF26" s="348">
        <f t="shared" si="7"/>
        <v>14921.51833333333</v>
      </c>
      <c r="AG26" s="348">
        <f t="shared" si="8"/>
        <v>14921.500000000002</v>
      </c>
      <c r="AH26" s="336">
        <v>13565</v>
      </c>
      <c r="AI26" s="300" t="s">
        <v>308</v>
      </c>
    </row>
    <row r="27" spans="15:45" x14ac:dyDescent="0.3">
      <c r="Q27" s="10"/>
      <c r="R27" s="7"/>
      <c r="S27" s="346" t="s">
        <v>160</v>
      </c>
      <c r="T27" s="250">
        <f>(AG27/12)-1234</f>
        <v>2784.9416666666671</v>
      </c>
      <c r="U27" s="250">
        <f>(4018.94)-1002</f>
        <v>3016.94</v>
      </c>
      <c r="V27" s="250">
        <f>(4018.94)-144</f>
        <v>3874.94</v>
      </c>
      <c r="W27" s="250">
        <f>(4018.94)+234</f>
        <v>4252.9400000000005</v>
      </c>
      <c r="X27" s="250">
        <f>(4018.94)+546-126.98</f>
        <v>4437.9600000000009</v>
      </c>
      <c r="Y27" s="250">
        <f>(4018.94)+1044</f>
        <v>5062.9400000000005</v>
      </c>
      <c r="Z27" s="250">
        <f>(4018.94)+576</f>
        <v>4594.9400000000005</v>
      </c>
      <c r="AA27" s="250">
        <f>(4018.94)+375</f>
        <v>4393.9400000000005</v>
      </c>
      <c r="AB27" s="250">
        <f>(4018.94)+32</f>
        <v>4050.94</v>
      </c>
      <c r="AC27" s="250">
        <f>(4018.94)-45</f>
        <v>3973.94</v>
      </c>
      <c r="AD27" s="250">
        <f>(4018.94)-125</f>
        <v>3893.94</v>
      </c>
      <c r="AE27" s="250">
        <f>(4018.94)-130</f>
        <v>3888.94</v>
      </c>
      <c r="AF27" s="348">
        <f t="shared" si="7"/>
        <v>48227.301666666681</v>
      </c>
      <c r="AG27" s="348">
        <f t="shared" si="8"/>
        <v>48227.3</v>
      </c>
      <c r="AH27" s="336">
        <v>43843</v>
      </c>
      <c r="AI27" s="300"/>
    </row>
    <row r="28" spans="15:45" x14ac:dyDescent="0.3">
      <c r="Q28" s="10"/>
      <c r="R28" s="7"/>
      <c r="S28" s="346" t="s">
        <v>167</v>
      </c>
      <c r="T28" s="250">
        <f>(AG28/12)-96</f>
        <v>294.68333333333339</v>
      </c>
      <c r="U28" s="250">
        <f>(390.68)+76</f>
        <v>466.68</v>
      </c>
      <c r="V28" s="250">
        <f>(390.68)+45</f>
        <v>435.68</v>
      </c>
      <c r="W28" s="250">
        <f>(390.68)+34</f>
        <v>424.68</v>
      </c>
      <c r="X28" s="250">
        <f>(390.68)-23</f>
        <v>367.68</v>
      </c>
      <c r="Y28" s="250">
        <f>(390.68)+123</f>
        <v>513.68000000000006</v>
      </c>
      <c r="Z28" s="250">
        <f>(390.68)-27</f>
        <v>363.68</v>
      </c>
      <c r="AA28" s="250">
        <f>(390.68)+13</f>
        <v>403.68</v>
      </c>
      <c r="AB28" s="250">
        <f>(390.68)-49</f>
        <v>341.68</v>
      </c>
      <c r="AC28" s="250">
        <f>(390.68)+20</f>
        <v>410.68</v>
      </c>
      <c r="AD28" s="250">
        <f>(390.68)+34</f>
        <v>424.68</v>
      </c>
      <c r="AE28" s="250">
        <f>(390.68)-150+0.04</f>
        <v>240.72</v>
      </c>
      <c r="AF28" s="348">
        <f t="shared" si="7"/>
        <v>4688.2033333333338</v>
      </c>
      <c r="AG28" s="348">
        <f t="shared" si="8"/>
        <v>4688.2000000000007</v>
      </c>
      <c r="AH28" s="336">
        <v>4262</v>
      </c>
      <c r="AI28" s="300"/>
    </row>
    <row r="29" spans="15:45" x14ac:dyDescent="0.3">
      <c r="Q29" s="10"/>
      <c r="R29" s="7"/>
      <c r="S29" s="350" t="s">
        <v>183</v>
      </c>
      <c r="T29" s="250">
        <f t="shared" ref="T29" si="11">AG29/12</f>
        <v>6513.833333333333</v>
      </c>
      <c r="U29" s="250">
        <f t="shared" ref="U29:AE29" si="12">T29</f>
        <v>6513.833333333333</v>
      </c>
      <c r="V29" s="250">
        <f t="shared" si="12"/>
        <v>6513.833333333333</v>
      </c>
      <c r="W29" s="250">
        <f t="shared" si="12"/>
        <v>6513.833333333333</v>
      </c>
      <c r="X29" s="250">
        <f t="shared" si="12"/>
        <v>6513.833333333333</v>
      </c>
      <c r="Y29" s="250">
        <f t="shared" si="12"/>
        <v>6513.833333333333</v>
      </c>
      <c r="Z29" s="250">
        <f t="shared" si="12"/>
        <v>6513.833333333333</v>
      </c>
      <c r="AA29" s="250">
        <f t="shared" si="12"/>
        <v>6513.833333333333</v>
      </c>
      <c r="AB29" s="250">
        <f t="shared" si="12"/>
        <v>6513.833333333333</v>
      </c>
      <c r="AC29" s="250">
        <f t="shared" si="12"/>
        <v>6513.833333333333</v>
      </c>
      <c r="AD29" s="250">
        <f t="shared" si="12"/>
        <v>6513.833333333333</v>
      </c>
      <c r="AE29" s="250">
        <f t="shared" si="12"/>
        <v>6513.833333333333</v>
      </c>
      <c r="AF29" s="348">
        <f t="shared" si="7"/>
        <v>78166</v>
      </c>
      <c r="AG29" s="333">
        <f t="shared" si="8"/>
        <v>78166</v>
      </c>
      <c r="AH29" s="336">
        <v>71060</v>
      </c>
      <c r="AI29" s="300" t="s">
        <v>309</v>
      </c>
    </row>
    <row r="30" spans="15:45" x14ac:dyDescent="0.3">
      <c r="P30" s="236"/>
      <c r="Q30" s="10"/>
      <c r="R30" s="7"/>
      <c r="S30" s="346" t="s">
        <v>253</v>
      </c>
      <c r="T30" s="250">
        <f>(AG30/12)+34</f>
        <v>351.16666666666669</v>
      </c>
      <c r="U30" s="250">
        <f>(288.33)-45</f>
        <v>243.32999999999998</v>
      </c>
      <c r="V30" s="250">
        <f>(288.33)+18</f>
        <v>306.33</v>
      </c>
      <c r="W30" s="250">
        <f>(288.33)-8.8</f>
        <v>279.52999999999997</v>
      </c>
      <c r="X30" s="250">
        <f>(288.33)+54-4</f>
        <v>338.33</v>
      </c>
      <c r="Y30" s="250">
        <f>(288.33)-98-28</f>
        <v>162.32999999999998</v>
      </c>
      <c r="Z30" s="250">
        <f>(288.33)+87</f>
        <v>375.33</v>
      </c>
      <c r="AA30" s="250">
        <f>(288.33)+182</f>
        <v>470.33</v>
      </c>
      <c r="AB30" s="250">
        <f>(288.33)-29</f>
        <v>259.33</v>
      </c>
      <c r="AC30" s="250">
        <f>(288.33)+170</f>
        <v>458.33</v>
      </c>
      <c r="AD30" s="250">
        <f>(288.33)-78</f>
        <v>210.32999999999998</v>
      </c>
      <c r="AE30" s="250">
        <f>(288.33)+63</f>
        <v>351.33</v>
      </c>
      <c r="AF30" s="348">
        <f t="shared" si="7"/>
        <v>3805.996666666666</v>
      </c>
      <c r="AG30" s="333">
        <f t="shared" si="8"/>
        <v>3806.0000000000005</v>
      </c>
      <c r="AH30" s="336">
        <v>3460</v>
      </c>
      <c r="AI30" s="300"/>
    </row>
    <row r="31" spans="15:45" x14ac:dyDescent="0.3">
      <c r="Q31" s="10"/>
      <c r="R31" s="7"/>
      <c r="S31" s="346" t="s">
        <v>157</v>
      </c>
      <c r="T31" s="250">
        <f>(AG31/12)-87</f>
        <v>515.89166666666677</v>
      </c>
      <c r="U31" s="250">
        <f>(548.08)-76</f>
        <v>472.08000000000004</v>
      </c>
      <c r="V31" s="250">
        <f>(548.08)+165</f>
        <v>713.08</v>
      </c>
      <c r="W31" s="250">
        <f>(548.08)+43</f>
        <v>591.08000000000004</v>
      </c>
      <c r="X31" s="250">
        <f>(548.08)+223</f>
        <v>771.08</v>
      </c>
      <c r="Y31" s="250">
        <f>(548.08)-64</f>
        <v>484.08000000000004</v>
      </c>
      <c r="Z31" s="250">
        <f>(548.08)-17</f>
        <v>531.08000000000004</v>
      </c>
      <c r="AA31" s="250">
        <f>(548.08)-31</f>
        <v>517.08000000000004</v>
      </c>
      <c r="AB31" s="250">
        <f>(548.08)+308</f>
        <v>856.08</v>
      </c>
      <c r="AC31" s="250">
        <f>(548.08)+28+66</f>
        <v>642.08000000000004</v>
      </c>
      <c r="AD31" s="250">
        <f>(548.08)+143</f>
        <v>691.08</v>
      </c>
      <c r="AE31" s="250">
        <f>(548.08)-97.77+0.7-1</f>
        <v>450.01000000000005</v>
      </c>
      <c r="AF31" s="348">
        <f t="shared" si="7"/>
        <v>7234.7016666666668</v>
      </c>
      <c r="AG31" s="333">
        <f t="shared" si="8"/>
        <v>7234.7000000000007</v>
      </c>
      <c r="AH31" s="336">
        <v>6577</v>
      </c>
      <c r="AI31" t="s">
        <v>298</v>
      </c>
    </row>
    <row r="32" spans="15:45" x14ac:dyDescent="0.3">
      <c r="Q32" s="10"/>
      <c r="R32" s="7"/>
      <c r="S32" s="346" t="s">
        <v>55</v>
      </c>
      <c r="T32" s="250">
        <f>(AG32/12)+248</f>
        <v>584.6</v>
      </c>
      <c r="U32" s="250">
        <f>(306)-41</f>
        <v>265</v>
      </c>
      <c r="V32" s="250">
        <f>(306)+190</f>
        <v>496</v>
      </c>
      <c r="W32" s="250">
        <f>(306)-76</f>
        <v>230</v>
      </c>
      <c r="X32" s="250">
        <f>(306)+20</f>
        <v>326</v>
      </c>
      <c r="Y32" s="250">
        <f>(306)+28</f>
        <v>334</v>
      </c>
      <c r="Z32" s="250">
        <f>(306)+84</f>
        <v>390</v>
      </c>
      <c r="AA32" s="250">
        <f>(306)+17</f>
        <v>323</v>
      </c>
      <c r="AB32" s="250">
        <f>(306)-48.6</f>
        <v>257.39999999999998</v>
      </c>
      <c r="AC32" s="250">
        <f>(306)+27</f>
        <v>333</v>
      </c>
      <c r="AD32" s="250">
        <f>(306)-92</f>
        <v>214</v>
      </c>
      <c r="AE32" s="250">
        <f>(306)-20+0.2</f>
        <v>286.2</v>
      </c>
      <c r="AF32" s="348">
        <f t="shared" si="7"/>
        <v>4039.2</v>
      </c>
      <c r="AG32" s="333">
        <f t="shared" si="8"/>
        <v>4039.2000000000003</v>
      </c>
      <c r="AH32" s="336">
        <v>3672</v>
      </c>
      <c r="AI32" t="s">
        <v>297</v>
      </c>
    </row>
    <row r="33" spans="5:36" x14ac:dyDescent="0.3">
      <c r="Q33" s="10"/>
      <c r="R33" s="7"/>
      <c r="S33" s="351" t="s">
        <v>177</v>
      </c>
      <c r="T33" s="250">
        <f>(AG33/12)-79</f>
        <v>80.041666666666686</v>
      </c>
      <c r="U33" s="250">
        <f>(159.04)-26-50</f>
        <v>83.039999999999992</v>
      </c>
      <c r="V33" s="250">
        <f>(159.04)+14</f>
        <v>173.04</v>
      </c>
      <c r="W33" s="250">
        <f>(159.04)+27</f>
        <v>186.04</v>
      </c>
      <c r="X33" s="250">
        <f>(159.04)+34</f>
        <v>193.04</v>
      </c>
      <c r="Y33" s="250">
        <f>(159.04)+98</f>
        <v>257.03999999999996</v>
      </c>
      <c r="Z33" s="250">
        <f>(159.04)+65</f>
        <v>224.04</v>
      </c>
      <c r="AA33" s="250">
        <f>(159.04)+16+5</f>
        <v>180.04</v>
      </c>
      <c r="AB33" s="250">
        <f>(159.04)+9</f>
        <v>168.04</v>
      </c>
      <c r="AC33" s="250">
        <f>(159.04)-12.48</f>
        <v>146.56</v>
      </c>
      <c r="AD33" s="250">
        <f>(159.04)-44</f>
        <v>115.03999999999999</v>
      </c>
      <c r="AE33" s="250">
        <f>(159.04)-56+0.5-1</f>
        <v>102.53999999999999</v>
      </c>
      <c r="AF33" s="348">
        <f t="shared" si="7"/>
        <v>1908.5016666666663</v>
      </c>
      <c r="AG33" s="333">
        <f t="shared" si="8"/>
        <v>1908.5000000000002</v>
      </c>
      <c r="AH33" s="336">
        <v>1735</v>
      </c>
      <c r="AI33" s="300" t="s">
        <v>303</v>
      </c>
    </row>
    <row r="34" spans="5:36" x14ac:dyDescent="0.3">
      <c r="R34" s="7"/>
      <c r="S34" s="352" t="s">
        <v>132</v>
      </c>
      <c r="T34" s="250">
        <v>5000</v>
      </c>
      <c r="U34" s="250"/>
      <c r="V34" s="250"/>
      <c r="W34" s="250">
        <f>(SUM(T11:V11)/11)-(SUM(T13:V33)/11)</f>
        <v>23411.017414886453</v>
      </c>
      <c r="X34" s="250"/>
      <c r="Y34" s="250"/>
      <c r="Z34" s="250">
        <f>SUM(W11:Y11)/11-SUM(W13:Y33)/11</f>
        <v>18866.82101095179</v>
      </c>
      <c r="AA34" s="250"/>
      <c r="AB34" s="250"/>
      <c r="AC34" s="250">
        <f>SUM(Z11:AB11)/11-SUM(Z13:AB33)/11</f>
        <v>21721.923749096324</v>
      </c>
      <c r="AD34" s="250"/>
      <c r="AE34" s="250"/>
      <c r="AF34" s="348">
        <f t="shared" si="7"/>
        <v>68999.762174934571</v>
      </c>
      <c r="AG34" s="333">
        <f>AF34</f>
        <v>68999.762174934571</v>
      </c>
      <c r="AH34" s="336"/>
      <c r="AI34" s="300"/>
    </row>
    <row r="35" spans="5:36" x14ac:dyDescent="0.3">
      <c r="E35" s="298"/>
      <c r="R35" s="7"/>
      <c r="S35" s="350" t="s">
        <v>99</v>
      </c>
      <c r="T35" s="250">
        <v>8077</v>
      </c>
      <c r="U35" s="250">
        <v>5385</v>
      </c>
      <c r="V35" s="250">
        <v>5385</v>
      </c>
      <c r="W35" s="250">
        <v>5384.62</v>
      </c>
      <c r="X35" s="250">
        <v>5384.62</v>
      </c>
      <c r="Y35" s="250">
        <f>5384.62/4</f>
        <v>1346.155</v>
      </c>
      <c r="Z35" s="250">
        <f>8076.92/4</f>
        <v>2019.23</v>
      </c>
      <c r="AA35" s="250">
        <f>5384.62/4</f>
        <v>1346.155</v>
      </c>
      <c r="AB35" s="250">
        <f t="shared" ref="AB35:AE36" si="13">5384.62/4</f>
        <v>1346.155</v>
      </c>
      <c r="AC35" s="250">
        <f t="shared" si="13"/>
        <v>1346.155</v>
      </c>
      <c r="AD35" s="250">
        <f t="shared" si="13"/>
        <v>1346.155</v>
      </c>
      <c r="AE35" s="250">
        <f t="shared" si="13"/>
        <v>1346.155</v>
      </c>
      <c r="AF35" s="348">
        <f t="shared" si="7"/>
        <v>39712.399999999994</v>
      </c>
      <c r="AG35" s="333">
        <f>AF35</f>
        <v>39712.399999999994</v>
      </c>
      <c r="AH35" s="336">
        <f>AG35</f>
        <v>39712.399999999994</v>
      </c>
      <c r="AI35" s="300" t="s">
        <v>324</v>
      </c>
    </row>
    <row r="36" spans="5:36" x14ac:dyDescent="0.3">
      <c r="P36" s="277"/>
      <c r="R36" s="7"/>
      <c r="S36" s="350" t="s">
        <v>98</v>
      </c>
      <c r="T36" s="250">
        <v>8077</v>
      </c>
      <c r="U36" s="250">
        <v>5385</v>
      </c>
      <c r="V36" s="250">
        <v>5385</v>
      </c>
      <c r="W36" s="250">
        <v>5384.62</v>
      </c>
      <c r="X36" s="250">
        <v>5384.62</v>
      </c>
      <c r="Y36" s="250">
        <f>5384.62/4</f>
        <v>1346.155</v>
      </c>
      <c r="Z36" s="250">
        <f>8076.92/4</f>
        <v>2019.23</v>
      </c>
      <c r="AA36" s="250">
        <f>5384.62/4</f>
        <v>1346.155</v>
      </c>
      <c r="AB36" s="250">
        <f t="shared" si="13"/>
        <v>1346.155</v>
      </c>
      <c r="AC36" s="250">
        <f t="shared" si="13"/>
        <v>1346.155</v>
      </c>
      <c r="AD36" s="250">
        <f t="shared" si="13"/>
        <v>1346.155</v>
      </c>
      <c r="AE36" s="250">
        <f t="shared" si="13"/>
        <v>1346.155</v>
      </c>
      <c r="AF36" s="348">
        <f t="shared" si="7"/>
        <v>39712.399999999994</v>
      </c>
      <c r="AG36" s="333">
        <f>AF36</f>
        <v>39712.399999999994</v>
      </c>
      <c r="AH36" s="336">
        <f>AG36</f>
        <v>39712.399999999994</v>
      </c>
      <c r="AI36" s="300" t="s">
        <v>324</v>
      </c>
    </row>
    <row r="37" spans="5:36" x14ac:dyDescent="0.3">
      <c r="P37" s="35"/>
      <c r="R37" s="7"/>
      <c r="S37" s="347" t="s">
        <v>57</v>
      </c>
      <c r="T37" s="250">
        <v>10961.65</v>
      </c>
      <c r="U37" s="250">
        <v>7307.77</v>
      </c>
      <c r="V37" s="250">
        <v>7307.77</v>
      </c>
      <c r="W37" s="250">
        <v>7307.77</v>
      </c>
      <c r="X37" s="250">
        <v>7307.77</v>
      </c>
      <c r="Y37" s="250">
        <v>7307.77</v>
      </c>
      <c r="Z37" s="250">
        <v>10961.65</v>
      </c>
      <c r="AA37" s="250">
        <v>7307.77</v>
      </c>
      <c r="AB37" s="250">
        <v>7307.77</v>
      </c>
      <c r="AC37" s="250">
        <v>7307.77</v>
      </c>
      <c r="AD37" s="250">
        <v>7307.77</v>
      </c>
      <c r="AE37" s="250">
        <v>7307.77</v>
      </c>
      <c r="AF37" s="348">
        <f t="shared" si="7"/>
        <v>95001.000000000015</v>
      </c>
      <c r="AG37" s="333">
        <f t="shared" ref="AG37:AG56" si="14">AH37</f>
        <v>95001</v>
      </c>
      <c r="AH37" s="336">
        <v>95001</v>
      </c>
      <c r="AI37" s="300"/>
    </row>
    <row r="38" spans="5:36" x14ac:dyDescent="0.3">
      <c r="R38" s="7"/>
      <c r="S38" s="347" t="s">
        <v>58</v>
      </c>
      <c r="T38" s="250">
        <v>10576.85</v>
      </c>
      <c r="U38" s="343">
        <v>7051.23</v>
      </c>
      <c r="V38" s="343">
        <v>7051.23</v>
      </c>
      <c r="W38" s="343">
        <v>7051.23</v>
      </c>
      <c r="X38" s="343">
        <v>7051.23</v>
      </c>
      <c r="Y38" s="343">
        <v>7051.23</v>
      </c>
      <c r="Z38" s="343">
        <v>10576.85</v>
      </c>
      <c r="AA38" s="343">
        <v>7051.23</v>
      </c>
      <c r="AB38" s="343">
        <v>7051.23</v>
      </c>
      <c r="AC38" s="343">
        <v>7051.23</v>
      </c>
      <c r="AD38" s="343">
        <v>7051.23</v>
      </c>
      <c r="AE38" s="343">
        <v>7051.23</v>
      </c>
      <c r="AF38" s="348">
        <f t="shared" si="7"/>
        <v>91665.999999999985</v>
      </c>
      <c r="AG38" s="333">
        <f t="shared" si="14"/>
        <v>91666</v>
      </c>
      <c r="AH38" s="336">
        <v>91666</v>
      </c>
      <c r="AI38" s="300"/>
    </row>
    <row r="39" spans="5:36" x14ac:dyDescent="0.3">
      <c r="R39" s="7"/>
      <c r="S39" s="347" t="s">
        <v>314</v>
      </c>
      <c r="T39" s="250"/>
      <c r="U39" s="343"/>
      <c r="V39" s="343"/>
      <c r="W39" s="343"/>
      <c r="X39" s="343">
        <v>4314</v>
      </c>
      <c r="Y39" s="343">
        <v>4314</v>
      </c>
      <c r="Z39" s="343">
        <v>6470</v>
      </c>
      <c r="AA39" s="343">
        <v>4314</v>
      </c>
      <c r="AB39" s="343">
        <v>4314</v>
      </c>
      <c r="AC39" s="343">
        <v>4314</v>
      </c>
      <c r="AD39" s="343">
        <v>4314</v>
      </c>
      <c r="AE39" s="343">
        <v>4314</v>
      </c>
      <c r="AF39" s="348">
        <f>SUM(X39:AE39)</f>
        <v>36668</v>
      </c>
      <c r="AG39" s="333">
        <f>AF39</f>
        <v>36668</v>
      </c>
      <c r="AH39" s="336">
        <f>AG39</f>
        <v>36668</v>
      </c>
      <c r="AI39" s="300" t="s">
        <v>323</v>
      </c>
    </row>
    <row r="40" spans="5:36" x14ac:dyDescent="0.3">
      <c r="R40" s="7"/>
      <c r="S40" s="347" t="s">
        <v>59</v>
      </c>
      <c r="T40" s="250">
        <v>7307.65</v>
      </c>
      <c r="U40" s="250">
        <v>4871.7700000000004</v>
      </c>
      <c r="V40" s="250">
        <v>4871.7700000000004</v>
      </c>
      <c r="W40" s="250">
        <v>4871.7700000000004</v>
      </c>
      <c r="X40" s="250">
        <f>4871.77+12666.6+4871.77</f>
        <v>22410.140000000003</v>
      </c>
      <c r="Y40" s="250"/>
      <c r="Z40" s="250"/>
      <c r="AA40" s="250"/>
      <c r="AB40" s="250"/>
      <c r="AC40" s="250"/>
      <c r="AD40" s="250"/>
      <c r="AE40" s="250"/>
      <c r="AF40" s="348">
        <f>SUM(T40:X40)</f>
        <v>44333.100000000006</v>
      </c>
      <c r="AG40" s="333">
        <f>AF40</f>
        <v>44333.100000000006</v>
      </c>
      <c r="AH40" s="336">
        <f>AG40</f>
        <v>44333.100000000006</v>
      </c>
      <c r="AI40" s="300" t="s">
        <v>322</v>
      </c>
    </row>
    <row r="41" spans="5:36" x14ac:dyDescent="0.3">
      <c r="R41" s="7"/>
      <c r="S41" s="347" t="s">
        <v>60</v>
      </c>
      <c r="T41" s="250">
        <v>2205.81</v>
      </c>
      <c r="U41" s="250">
        <v>1470.54</v>
      </c>
      <c r="V41" s="250">
        <v>1470.54</v>
      </c>
      <c r="W41" s="250">
        <v>1470.54</v>
      </c>
      <c r="X41" s="250">
        <v>1470.54</v>
      </c>
      <c r="Y41" s="250">
        <v>1470.54</v>
      </c>
      <c r="Z41" s="250">
        <v>2205.81</v>
      </c>
      <c r="AA41" s="250">
        <v>1470.54</v>
      </c>
      <c r="AB41" s="250">
        <v>1470.54</v>
      </c>
      <c r="AC41" s="250">
        <v>1470.54</v>
      </c>
      <c r="AD41" s="250">
        <v>1470.54</v>
      </c>
      <c r="AE41" s="250">
        <v>1470.54</v>
      </c>
      <c r="AF41" s="348">
        <f t="shared" si="7"/>
        <v>19117.02</v>
      </c>
      <c r="AG41" s="333">
        <f t="shared" si="14"/>
        <v>19117</v>
      </c>
      <c r="AH41" s="336">
        <v>19117</v>
      </c>
      <c r="AI41" s="300"/>
      <c r="AJ41" s="35"/>
    </row>
    <row r="42" spans="5:36" x14ac:dyDescent="0.3">
      <c r="R42" s="7"/>
      <c r="S42" s="347" t="s">
        <v>184</v>
      </c>
      <c r="T42" s="250">
        <f>SUM(T35:T41)*0.09</f>
        <v>4248.5364</v>
      </c>
      <c r="U42" s="250">
        <f t="shared" ref="U42:AE42" si="15">SUM(U35:U41)*0.09</f>
        <v>2832.4178999999999</v>
      </c>
      <c r="V42" s="250">
        <f t="shared" si="15"/>
        <v>2832.4178999999999</v>
      </c>
      <c r="W42" s="250">
        <f t="shared" si="15"/>
        <v>2832.3495000000003</v>
      </c>
      <c r="X42" s="250">
        <f t="shared" si="15"/>
        <v>4799.0628000000006</v>
      </c>
      <c r="Y42" s="250">
        <f t="shared" si="15"/>
        <v>2055.2264999999998</v>
      </c>
      <c r="Z42" s="250">
        <f t="shared" si="15"/>
        <v>3082.7492999999995</v>
      </c>
      <c r="AA42" s="250">
        <f t="shared" si="15"/>
        <v>2055.2264999999998</v>
      </c>
      <c r="AB42" s="250">
        <f t="shared" si="15"/>
        <v>2055.2264999999998</v>
      </c>
      <c r="AC42" s="250">
        <f t="shared" si="15"/>
        <v>2055.2264999999998</v>
      </c>
      <c r="AD42" s="250">
        <f t="shared" si="15"/>
        <v>2055.2264999999998</v>
      </c>
      <c r="AE42" s="250">
        <f t="shared" si="15"/>
        <v>2055.2264999999998</v>
      </c>
      <c r="AF42" s="348">
        <f t="shared" si="7"/>
        <v>32958.892800000001</v>
      </c>
      <c r="AG42" s="333">
        <f>AF42</f>
        <v>32958.892800000001</v>
      </c>
      <c r="AH42" s="338">
        <f>SUM(AH35:AH41)*0.09</f>
        <v>32958.891000000003</v>
      </c>
      <c r="AI42" s="300"/>
      <c r="AJ42" s="35"/>
    </row>
    <row r="43" spans="5:36" ht="14.25" customHeight="1" x14ac:dyDescent="0.3">
      <c r="Q43" s="10"/>
      <c r="R43" s="7"/>
      <c r="S43" s="346" t="s">
        <v>23</v>
      </c>
      <c r="T43" s="250">
        <f>SUM(T35:T42)*0.0175</f>
        <v>900.45368700000006</v>
      </c>
      <c r="U43" s="250">
        <f t="shared" ref="U43:AE43" si="16">SUM(U35:U42)*0.0175</f>
        <v>600.31523824999999</v>
      </c>
      <c r="V43" s="250">
        <f t="shared" si="16"/>
        <v>600.31523824999999</v>
      </c>
      <c r="W43" s="250">
        <f t="shared" si="16"/>
        <v>600.3007412500001</v>
      </c>
      <c r="X43" s="250">
        <f t="shared" si="16"/>
        <v>1017.1346990000002</v>
      </c>
      <c r="Y43" s="250">
        <f t="shared" si="16"/>
        <v>435.59383875000003</v>
      </c>
      <c r="Z43" s="250">
        <f t="shared" si="16"/>
        <v>653.37158775000012</v>
      </c>
      <c r="AA43" s="250">
        <f t="shared" si="16"/>
        <v>435.59383875000003</v>
      </c>
      <c r="AB43" s="250">
        <f t="shared" si="16"/>
        <v>435.59383875000003</v>
      </c>
      <c r="AC43" s="250">
        <f t="shared" si="16"/>
        <v>435.59383875000003</v>
      </c>
      <c r="AD43" s="250">
        <f t="shared" si="16"/>
        <v>435.59383875000003</v>
      </c>
      <c r="AE43" s="250">
        <f t="shared" si="16"/>
        <v>435.59383875000003</v>
      </c>
      <c r="AF43" s="348">
        <f>SUM(T43:AE43)</f>
        <v>6985.4542240000001</v>
      </c>
      <c r="AG43" s="333">
        <f>AF43</f>
        <v>6985.4542240000001</v>
      </c>
      <c r="AH43" s="336">
        <f>SUM(AH35:AH42)*0.0175</f>
        <v>6985.453842500001</v>
      </c>
      <c r="AI43" s="300" t="s">
        <v>302</v>
      </c>
    </row>
    <row r="44" spans="5:36" x14ac:dyDescent="0.3">
      <c r="Q44" s="10"/>
      <c r="R44" s="7"/>
      <c r="S44" s="347" t="s">
        <v>149</v>
      </c>
      <c r="T44" s="250">
        <f>(AG44/12)-189</f>
        <v>144.33333333333331</v>
      </c>
      <c r="U44" s="250">
        <f>(333.33)-99</f>
        <v>234.32999999999998</v>
      </c>
      <c r="V44" s="250">
        <f>(333.33)+13</f>
        <v>346.33</v>
      </c>
      <c r="W44" s="250">
        <f>(333.33)+56</f>
        <v>389.33</v>
      </c>
      <c r="X44" s="250">
        <f>(333.33)+88</f>
        <v>421.33</v>
      </c>
      <c r="Y44" s="250">
        <f>(333.33)+108</f>
        <v>441.33</v>
      </c>
      <c r="Z44" s="250">
        <f>(333.33)+45</f>
        <v>378.33</v>
      </c>
      <c r="AA44" s="250">
        <f>(333.33)+13</f>
        <v>346.33</v>
      </c>
      <c r="AB44" s="250">
        <f>(333.33)-9</f>
        <v>324.33</v>
      </c>
      <c r="AC44" s="250">
        <f>(333.33)-13</f>
        <v>320.33</v>
      </c>
      <c r="AD44" s="250">
        <f>(333.33)-12</f>
        <v>321.33</v>
      </c>
      <c r="AE44" s="250">
        <f>(333.33)-0.96</f>
        <v>332.37</v>
      </c>
      <c r="AF44" s="348">
        <f t="shared" si="7"/>
        <v>4000.0033333333326</v>
      </c>
      <c r="AG44" s="333">
        <f t="shared" si="14"/>
        <v>4000</v>
      </c>
      <c r="AH44" s="336">
        <v>4000</v>
      </c>
      <c r="AI44" s="300" t="s">
        <v>299</v>
      </c>
    </row>
    <row r="45" spans="5:36" x14ac:dyDescent="0.3">
      <c r="R45" s="7"/>
      <c r="S45" s="347" t="s">
        <v>61</v>
      </c>
      <c r="T45" s="250">
        <v>18076.849999999999</v>
      </c>
      <c r="U45" s="250">
        <v>12051.23</v>
      </c>
      <c r="V45" s="250">
        <f t="shared" si="10"/>
        <v>12051.23</v>
      </c>
      <c r="W45" s="250">
        <f t="shared" si="10"/>
        <v>12051.23</v>
      </c>
      <c r="X45" s="250">
        <f t="shared" si="10"/>
        <v>12051.23</v>
      </c>
      <c r="Y45" s="250">
        <f t="shared" si="10"/>
        <v>12051.23</v>
      </c>
      <c r="Z45" s="250">
        <v>18076.849999999999</v>
      </c>
      <c r="AA45" s="250">
        <v>12051.23</v>
      </c>
      <c r="AB45" s="250">
        <f t="shared" si="10"/>
        <v>12051.23</v>
      </c>
      <c r="AC45" s="250">
        <f t="shared" si="10"/>
        <v>12051.23</v>
      </c>
      <c r="AD45" s="250">
        <f t="shared" si="10"/>
        <v>12051.23</v>
      </c>
      <c r="AE45" s="250">
        <f t="shared" si="10"/>
        <v>12051.23</v>
      </c>
      <c r="AF45" s="348">
        <f t="shared" si="7"/>
        <v>156666</v>
      </c>
      <c r="AG45" s="333">
        <f t="shared" si="14"/>
        <v>156666</v>
      </c>
      <c r="AH45" s="336">
        <v>156666</v>
      </c>
      <c r="AI45" s="300" t="s">
        <v>301</v>
      </c>
    </row>
    <row r="46" spans="5:36" x14ac:dyDescent="0.3">
      <c r="R46" s="7"/>
      <c r="S46" s="347" t="s">
        <v>62</v>
      </c>
      <c r="T46" s="250">
        <v>1626.93</v>
      </c>
      <c r="U46" s="250">
        <v>1084.5899999999999</v>
      </c>
      <c r="V46" s="250">
        <v>1084.5899999999999</v>
      </c>
      <c r="W46" s="250">
        <v>1084.5899999999999</v>
      </c>
      <c r="X46" s="250">
        <v>1084.5899999999999</v>
      </c>
      <c r="Y46" s="250">
        <v>1084.5899999999999</v>
      </c>
      <c r="Z46" s="250">
        <v>1626.93</v>
      </c>
      <c r="AA46" s="250">
        <v>1084.5899999999999</v>
      </c>
      <c r="AB46" s="250">
        <f t="shared" si="10"/>
        <v>1084.5899999999999</v>
      </c>
      <c r="AC46" s="250">
        <f t="shared" si="10"/>
        <v>1084.5899999999999</v>
      </c>
      <c r="AD46" s="250">
        <f t="shared" si="10"/>
        <v>1084.5899999999999</v>
      </c>
      <c r="AE46" s="250">
        <f t="shared" si="10"/>
        <v>1084.5899999999999</v>
      </c>
      <c r="AF46" s="348">
        <f t="shared" si="7"/>
        <v>14099.76</v>
      </c>
      <c r="AG46" s="333">
        <f t="shared" si="14"/>
        <v>14099.939999999999</v>
      </c>
      <c r="AH46" s="336">
        <f>AH45*0.09</f>
        <v>14099.939999999999</v>
      </c>
      <c r="AI46" s="329"/>
    </row>
    <row r="47" spans="5:36" x14ac:dyDescent="0.3">
      <c r="Q47" s="10"/>
      <c r="R47" s="7"/>
      <c r="S47" s="346" t="s">
        <v>23</v>
      </c>
      <c r="T47" s="250">
        <f>SUM(T45:T46)*0.0175</f>
        <v>344.81614999999999</v>
      </c>
      <c r="U47" s="250">
        <f t="shared" ref="U47:AE47" si="17">SUM(U45:U46)*0.0175</f>
        <v>229.87685000000002</v>
      </c>
      <c r="V47" s="250">
        <f t="shared" si="17"/>
        <v>229.87685000000002</v>
      </c>
      <c r="W47" s="250">
        <f t="shared" si="17"/>
        <v>229.87685000000002</v>
      </c>
      <c r="X47" s="250">
        <f t="shared" si="17"/>
        <v>229.87685000000002</v>
      </c>
      <c r="Y47" s="250">
        <f t="shared" si="17"/>
        <v>229.87685000000002</v>
      </c>
      <c r="Z47" s="250">
        <f t="shared" si="17"/>
        <v>344.81614999999999</v>
      </c>
      <c r="AA47" s="250">
        <f t="shared" si="17"/>
        <v>229.87685000000002</v>
      </c>
      <c r="AB47" s="250">
        <f t="shared" si="17"/>
        <v>229.87685000000002</v>
      </c>
      <c r="AC47" s="250">
        <f t="shared" si="17"/>
        <v>229.87685000000002</v>
      </c>
      <c r="AD47" s="250">
        <f t="shared" si="17"/>
        <v>229.87685000000002</v>
      </c>
      <c r="AE47" s="250">
        <f t="shared" si="17"/>
        <v>229.87685000000002</v>
      </c>
      <c r="AF47" s="348">
        <f>SUM(T47:AE47)</f>
        <v>2988.4008000000008</v>
      </c>
      <c r="AG47" s="333">
        <f>AF47</f>
        <v>2988.4008000000008</v>
      </c>
      <c r="AH47" s="336">
        <f>SUM(AH45:AH46)*0.0175</f>
        <v>2988.4039500000003</v>
      </c>
      <c r="AI47" s="300" t="s">
        <v>302</v>
      </c>
    </row>
    <row r="48" spans="5:36" x14ac:dyDescent="0.3">
      <c r="R48" s="7"/>
      <c r="S48" s="346" t="s">
        <v>161</v>
      </c>
      <c r="T48" s="250">
        <f t="shared" si="9"/>
        <v>418.41666666666669</v>
      </c>
      <c r="U48" s="250">
        <f t="shared" ref="U48:AE48" si="18">T48</f>
        <v>418.41666666666669</v>
      </c>
      <c r="V48" s="250">
        <f t="shared" si="18"/>
        <v>418.41666666666669</v>
      </c>
      <c r="W48" s="250">
        <f t="shared" si="18"/>
        <v>418.41666666666669</v>
      </c>
      <c r="X48" s="250">
        <f t="shared" si="18"/>
        <v>418.41666666666669</v>
      </c>
      <c r="Y48" s="250">
        <f t="shared" si="18"/>
        <v>418.41666666666669</v>
      </c>
      <c r="Z48" s="250">
        <f t="shared" si="18"/>
        <v>418.41666666666669</v>
      </c>
      <c r="AA48" s="250">
        <f t="shared" si="18"/>
        <v>418.41666666666669</v>
      </c>
      <c r="AB48" s="250">
        <f t="shared" si="18"/>
        <v>418.41666666666669</v>
      </c>
      <c r="AC48" s="250">
        <f t="shared" si="18"/>
        <v>418.41666666666669</v>
      </c>
      <c r="AD48" s="250">
        <f t="shared" si="18"/>
        <v>418.41666666666669</v>
      </c>
      <c r="AE48" s="250">
        <f t="shared" si="18"/>
        <v>418.41666666666669</v>
      </c>
      <c r="AF48" s="348">
        <f t="shared" si="7"/>
        <v>5021</v>
      </c>
      <c r="AG48" s="333">
        <f t="shared" si="14"/>
        <v>5021</v>
      </c>
      <c r="AH48" s="336">
        <v>5021</v>
      </c>
      <c r="AI48" s="300" t="s">
        <v>300</v>
      </c>
    </row>
    <row r="49" spans="17:35" x14ac:dyDescent="0.3">
      <c r="Q49" s="10"/>
      <c r="S49" s="346" t="s">
        <v>152</v>
      </c>
      <c r="T49" s="250">
        <f>(AG49/12)-22</f>
        <v>453.83333333333331</v>
      </c>
      <c r="U49" s="250">
        <f>(475.83)+75</f>
        <v>550.82999999999993</v>
      </c>
      <c r="V49" s="250">
        <f>(475.83)+53</f>
        <v>528.82999999999993</v>
      </c>
      <c r="W49" s="250">
        <f>(475.83)-98</f>
        <v>377.83</v>
      </c>
      <c r="X49" s="250">
        <f>(475.83)+21</f>
        <v>496.83</v>
      </c>
      <c r="Y49" s="250">
        <v>475.83</v>
      </c>
      <c r="Z49" s="250">
        <f>(475.83)-19</f>
        <v>456.83</v>
      </c>
      <c r="AA49" s="250">
        <f>(475.83)+99</f>
        <v>574.82999999999993</v>
      </c>
      <c r="AB49" s="250">
        <f>(475.83)-83</f>
        <v>392.83</v>
      </c>
      <c r="AC49" s="250">
        <f>(475.83)-8</f>
        <v>467.83</v>
      </c>
      <c r="AD49" s="250">
        <f>(475.83)+51</f>
        <v>526.82999999999993</v>
      </c>
      <c r="AE49" s="250">
        <f>(475.83)-68.96</f>
        <v>406.87</v>
      </c>
      <c r="AF49" s="348">
        <f t="shared" si="7"/>
        <v>5710.0033333333331</v>
      </c>
      <c r="AG49" s="333">
        <f t="shared" si="14"/>
        <v>5710</v>
      </c>
      <c r="AH49" s="336">
        <v>5710</v>
      </c>
      <c r="AI49" s="300" t="s">
        <v>296</v>
      </c>
    </row>
    <row r="50" spans="17:35" x14ac:dyDescent="0.3">
      <c r="Q50" s="10"/>
      <c r="S50" s="346" t="s">
        <v>155</v>
      </c>
      <c r="T50" s="250">
        <f>(AG50/12)+55</f>
        <v>425.41666666666669</v>
      </c>
      <c r="U50" s="250">
        <f>(370.42)-21</f>
        <v>349.42</v>
      </c>
      <c r="V50" s="250">
        <f>(370.42)-27</f>
        <v>343.42</v>
      </c>
      <c r="W50" s="250">
        <f>(370.42)-91</f>
        <v>279.42</v>
      </c>
      <c r="X50" s="250">
        <f>(370.42)+83</f>
        <v>453.42</v>
      </c>
      <c r="Y50" s="250">
        <f>(370.42)+40</f>
        <v>410.42</v>
      </c>
      <c r="Z50" s="250">
        <f>(370.42)+108</f>
        <v>478.42</v>
      </c>
      <c r="AA50" s="250">
        <f>(370.42)-42</f>
        <v>328.42</v>
      </c>
      <c r="AB50" s="250">
        <f>(370.42)+39+46</f>
        <v>455.42</v>
      </c>
      <c r="AC50" s="250">
        <f>(370.42)-65</f>
        <v>305.42</v>
      </c>
      <c r="AD50" s="250">
        <f>(370.42)-89</f>
        <v>281.42</v>
      </c>
      <c r="AE50" s="250">
        <f>(370.42)-36</f>
        <v>334.42</v>
      </c>
      <c r="AF50" s="348">
        <f t="shared" si="7"/>
        <v>4445.0366666666669</v>
      </c>
      <c r="AG50" s="333">
        <f t="shared" si="14"/>
        <v>4445</v>
      </c>
      <c r="AH50" s="336">
        <v>4445</v>
      </c>
      <c r="AI50" s="300"/>
    </row>
    <row r="51" spans="17:35" x14ac:dyDescent="0.3">
      <c r="Q51" s="239"/>
      <c r="R51" s="7"/>
      <c r="S51" s="346" t="s">
        <v>158</v>
      </c>
      <c r="T51" s="250">
        <f>(AG51/12)-368</f>
        <v>669.75</v>
      </c>
      <c r="U51" s="250">
        <f>(1037.75)-127</f>
        <v>910.75</v>
      </c>
      <c r="V51" s="250">
        <f>(1037.75)+18</f>
        <v>1055.75</v>
      </c>
      <c r="W51" s="250">
        <f>(1037.75)+45</f>
        <v>1082.75</v>
      </c>
      <c r="X51" s="250">
        <f>(1037.75)+67</f>
        <v>1104.75</v>
      </c>
      <c r="Y51" s="250">
        <f>(1037.75)+203</f>
        <v>1240.75</v>
      </c>
      <c r="Z51" s="250">
        <f>(1037.75)+89</f>
        <v>1126.75</v>
      </c>
      <c r="AA51" s="250">
        <f>(1037.75)+25</f>
        <v>1062.75</v>
      </c>
      <c r="AB51" s="250">
        <f>(1037.75)+12</f>
        <v>1049.75</v>
      </c>
      <c r="AC51" s="250">
        <f>(1037.75)+29</f>
        <v>1066.75</v>
      </c>
      <c r="AD51" s="250">
        <f>(1037.75)+8</f>
        <v>1045.75</v>
      </c>
      <c r="AE51" s="250">
        <f>(1037.75)-1</f>
        <v>1036.75</v>
      </c>
      <c r="AF51" s="348">
        <f t="shared" si="7"/>
        <v>12453</v>
      </c>
      <c r="AG51" s="348">
        <f t="shared" si="14"/>
        <v>12453</v>
      </c>
      <c r="AH51" s="336">
        <v>12453</v>
      </c>
      <c r="AI51" s="300" t="s">
        <v>295</v>
      </c>
    </row>
    <row r="52" spans="17:35" x14ac:dyDescent="0.3">
      <c r="Q52" s="239"/>
      <c r="R52" s="7"/>
      <c r="S52" s="346" t="s">
        <v>166</v>
      </c>
      <c r="T52" s="250">
        <f>(AG52/12)+98</f>
        <v>373</v>
      </c>
      <c r="U52" s="250">
        <f>(275)-22</f>
        <v>253</v>
      </c>
      <c r="V52" s="250">
        <f>(275)+45</f>
        <v>320</v>
      </c>
      <c r="W52" s="250">
        <f>(275)+12</f>
        <v>287</v>
      </c>
      <c r="X52" s="250">
        <f>(275)+59</f>
        <v>334</v>
      </c>
      <c r="Y52" s="250">
        <f>(275)-71</f>
        <v>204</v>
      </c>
      <c r="Z52" s="250">
        <f>(275)-79</f>
        <v>196</v>
      </c>
      <c r="AA52" s="250">
        <f>(275)-38</f>
        <v>237</v>
      </c>
      <c r="AB52" s="250">
        <f>(275)-60</f>
        <v>215</v>
      </c>
      <c r="AC52" s="250">
        <f>(275)+32</f>
        <v>307</v>
      </c>
      <c r="AD52" s="250">
        <f>(275)+42</f>
        <v>317</v>
      </c>
      <c r="AE52" s="250">
        <f>(275)-18</f>
        <v>257</v>
      </c>
      <c r="AF52" s="348">
        <f t="shared" si="7"/>
        <v>3300</v>
      </c>
      <c r="AG52" s="333">
        <f t="shared" si="14"/>
        <v>3300</v>
      </c>
      <c r="AH52" s="336">
        <v>3300</v>
      </c>
      <c r="AI52" s="300"/>
    </row>
    <row r="53" spans="17:35" x14ac:dyDescent="0.3">
      <c r="Q53" s="239"/>
      <c r="R53" s="7"/>
      <c r="S53" s="346" t="s">
        <v>170</v>
      </c>
      <c r="T53" s="250">
        <v>3200</v>
      </c>
      <c r="U53" s="250">
        <v>1200</v>
      </c>
      <c r="V53" s="250">
        <v>960</v>
      </c>
      <c r="W53" s="250">
        <v>2400</v>
      </c>
      <c r="X53" s="250">
        <v>4000</v>
      </c>
      <c r="Y53" s="250">
        <v>2320</v>
      </c>
      <c r="Z53" s="250">
        <v>3040</v>
      </c>
      <c r="AA53" s="250">
        <v>800</v>
      </c>
      <c r="AB53" s="250">
        <v>200</v>
      </c>
      <c r="AC53" s="250">
        <v>180</v>
      </c>
      <c r="AD53" s="250">
        <v>230</v>
      </c>
      <c r="AE53" s="250">
        <v>140</v>
      </c>
      <c r="AF53" s="348">
        <f t="shared" si="7"/>
        <v>18670</v>
      </c>
      <c r="AG53" s="333">
        <f>AF53</f>
        <v>18670</v>
      </c>
      <c r="AH53" s="336">
        <v>6206</v>
      </c>
      <c r="AI53" s="300"/>
    </row>
    <row r="54" spans="17:35" x14ac:dyDescent="0.3">
      <c r="Q54" s="7"/>
      <c r="R54" s="7"/>
      <c r="S54" s="346" t="s">
        <v>5</v>
      </c>
      <c r="T54" s="250">
        <f t="shared" si="9"/>
        <v>484.56416666666672</v>
      </c>
      <c r="U54" s="250">
        <f t="shared" ref="U54:AE56" si="19">T54</f>
        <v>484.56416666666672</v>
      </c>
      <c r="V54" s="250">
        <f t="shared" si="19"/>
        <v>484.56416666666672</v>
      </c>
      <c r="W54" s="250">
        <f t="shared" si="19"/>
        <v>484.56416666666672</v>
      </c>
      <c r="X54" s="250">
        <f t="shared" si="19"/>
        <v>484.56416666666672</v>
      </c>
      <c r="Y54" s="250">
        <f t="shared" si="19"/>
        <v>484.56416666666672</v>
      </c>
      <c r="Z54" s="250">
        <f t="shared" si="19"/>
        <v>484.56416666666672</v>
      </c>
      <c r="AA54" s="250">
        <f t="shared" si="19"/>
        <v>484.56416666666672</v>
      </c>
      <c r="AB54" s="250">
        <f t="shared" si="19"/>
        <v>484.56416666666672</v>
      </c>
      <c r="AC54" s="250">
        <f t="shared" si="19"/>
        <v>484.56416666666672</v>
      </c>
      <c r="AD54" s="250">
        <f t="shared" si="19"/>
        <v>484.56416666666672</v>
      </c>
      <c r="AE54" s="250">
        <f t="shared" si="19"/>
        <v>484.56416666666672</v>
      </c>
      <c r="AF54" s="348">
        <f t="shared" si="7"/>
        <v>5814.7700000000013</v>
      </c>
      <c r="AG54" s="333">
        <f t="shared" si="14"/>
        <v>5814.77</v>
      </c>
      <c r="AH54" s="336">
        <v>5814.77</v>
      </c>
      <c r="AI54" s="300"/>
    </row>
    <row r="55" spans="17:35" x14ac:dyDescent="0.3">
      <c r="Q55" s="7"/>
      <c r="R55" s="7"/>
      <c r="S55" s="346" t="s">
        <v>6</v>
      </c>
      <c r="T55" s="250">
        <f t="shared" si="9"/>
        <v>233.33333333333334</v>
      </c>
      <c r="U55" s="250">
        <f t="shared" si="19"/>
        <v>233.33333333333334</v>
      </c>
      <c r="V55" s="250">
        <f t="shared" si="19"/>
        <v>233.33333333333334</v>
      </c>
      <c r="W55" s="250">
        <f t="shared" si="19"/>
        <v>233.33333333333334</v>
      </c>
      <c r="X55" s="250">
        <f t="shared" si="19"/>
        <v>233.33333333333334</v>
      </c>
      <c r="Y55" s="250">
        <f t="shared" si="19"/>
        <v>233.33333333333334</v>
      </c>
      <c r="Z55" s="250">
        <f t="shared" si="19"/>
        <v>233.33333333333334</v>
      </c>
      <c r="AA55" s="250">
        <f t="shared" si="19"/>
        <v>233.33333333333334</v>
      </c>
      <c r="AB55" s="250">
        <f t="shared" si="19"/>
        <v>233.33333333333334</v>
      </c>
      <c r="AC55" s="250">
        <f t="shared" si="19"/>
        <v>233.33333333333334</v>
      </c>
      <c r="AD55" s="250">
        <f t="shared" si="19"/>
        <v>233.33333333333334</v>
      </c>
      <c r="AE55" s="250">
        <f t="shared" si="19"/>
        <v>233.33333333333334</v>
      </c>
      <c r="AF55" s="348">
        <f t="shared" si="7"/>
        <v>2800.0000000000005</v>
      </c>
      <c r="AG55" s="333">
        <f t="shared" si="14"/>
        <v>2800</v>
      </c>
      <c r="AH55" s="336">
        <v>2800</v>
      </c>
      <c r="AI55" s="300"/>
    </row>
    <row r="56" spans="17:35" x14ac:dyDescent="0.3">
      <c r="Q56" s="7"/>
      <c r="R56" s="7"/>
      <c r="S56" s="346" t="s">
        <v>213</v>
      </c>
      <c r="T56" s="250">
        <f t="shared" si="9"/>
        <v>444.41666666666669</v>
      </c>
      <c r="U56" s="250">
        <f t="shared" si="19"/>
        <v>444.41666666666669</v>
      </c>
      <c r="V56" s="250">
        <f t="shared" si="19"/>
        <v>444.41666666666669</v>
      </c>
      <c r="W56" s="250">
        <f t="shared" si="19"/>
        <v>444.41666666666669</v>
      </c>
      <c r="X56" s="250">
        <f t="shared" si="19"/>
        <v>444.41666666666669</v>
      </c>
      <c r="Y56" s="250">
        <f t="shared" si="19"/>
        <v>444.41666666666669</v>
      </c>
      <c r="Z56" s="250">
        <f t="shared" si="19"/>
        <v>444.41666666666669</v>
      </c>
      <c r="AA56" s="250">
        <f t="shared" si="19"/>
        <v>444.41666666666669</v>
      </c>
      <c r="AB56" s="250">
        <f t="shared" si="19"/>
        <v>444.41666666666669</v>
      </c>
      <c r="AC56" s="250">
        <f t="shared" si="19"/>
        <v>444.41666666666669</v>
      </c>
      <c r="AD56" s="250">
        <f t="shared" si="19"/>
        <v>444.41666666666669</v>
      </c>
      <c r="AE56" s="250">
        <f t="shared" si="19"/>
        <v>444.41666666666669</v>
      </c>
      <c r="AF56" s="348">
        <f t="shared" si="7"/>
        <v>5333</v>
      </c>
      <c r="AG56" s="333">
        <f t="shared" si="14"/>
        <v>5333</v>
      </c>
      <c r="AH56" s="339">
        <v>5333</v>
      </c>
      <c r="AI56" s="300"/>
    </row>
    <row r="57" spans="17:35" x14ac:dyDescent="0.3">
      <c r="S57" s="374" t="s">
        <v>310</v>
      </c>
      <c r="T57" s="7">
        <v>1544</v>
      </c>
      <c r="U57" s="7">
        <v>1544</v>
      </c>
      <c r="V57" s="7">
        <v>1544</v>
      </c>
      <c r="W57" s="7">
        <v>1544</v>
      </c>
      <c r="X57" s="7">
        <v>1544</v>
      </c>
      <c r="Y57" s="7">
        <v>1544</v>
      </c>
      <c r="Z57" s="7">
        <v>1544</v>
      </c>
      <c r="AA57" s="7">
        <v>1544</v>
      </c>
      <c r="AB57" s="7">
        <v>1544</v>
      </c>
      <c r="AC57" s="7">
        <v>1544</v>
      </c>
      <c r="AD57" s="7">
        <v>1544</v>
      </c>
      <c r="AE57" s="7">
        <v>1544</v>
      </c>
      <c r="AF57" s="348">
        <f>SUM(T57:AE57)</f>
        <v>18528</v>
      </c>
      <c r="AG57" s="361">
        <f>AF57</f>
        <v>18528</v>
      </c>
    </row>
    <row r="58" spans="17:35" x14ac:dyDescent="0.3">
      <c r="Q58" s="7"/>
      <c r="R58" s="7"/>
      <c r="S58" s="375" t="s">
        <v>311</v>
      </c>
      <c r="T58" s="330">
        <v>570</v>
      </c>
      <c r="U58" s="330">
        <v>570</v>
      </c>
      <c r="V58" s="330">
        <v>570</v>
      </c>
      <c r="W58" s="330">
        <v>570</v>
      </c>
      <c r="X58" s="330">
        <v>570</v>
      </c>
      <c r="Y58" s="330">
        <v>570</v>
      </c>
      <c r="Z58" s="330">
        <v>570</v>
      </c>
      <c r="AA58" s="330">
        <v>570</v>
      </c>
      <c r="AB58" s="330">
        <v>570</v>
      </c>
      <c r="AC58" s="330">
        <v>570</v>
      </c>
      <c r="AD58" s="330">
        <v>570</v>
      </c>
      <c r="AE58" s="330">
        <v>570</v>
      </c>
      <c r="AF58" s="329">
        <f>SUM(T58:AE58)</f>
        <v>6840</v>
      </c>
      <c r="AG58" s="331">
        <f>AF58</f>
        <v>6840</v>
      </c>
      <c r="AH58" s="341"/>
      <c r="AI58" s="300"/>
    </row>
    <row r="59" spans="17:35" x14ac:dyDescent="0.3">
      <c r="Q59" s="7"/>
      <c r="R59" s="7"/>
      <c r="S59" s="376" t="s">
        <v>312</v>
      </c>
      <c r="T59" s="330">
        <v>3888</v>
      </c>
      <c r="U59" s="330">
        <v>3888</v>
      </c>
      <c r="V59" s="330">
        <v>3888</v>
      </c>
      <c r="W59" s="330">
        <v>3888</v>
      </c>
      <c r="X59" s="330">
        <v>3888</v>
      </c>
      <c r="Y59" s="330">
        <v>3888</v>
      </c>
      <c r="Z59" s="330">
        <v>3888</v>
      </c>
      <c r="AA59" s="330">
        <v>3888</v>
      </c>
      <c r="AB59" s="330">
        <v>3888</v>
      </c>
      <c r="AC59" s="330">
        <v>3888</v>
      </c>
      <c r="AD59" s="330">
        <v>3888</v>
      </c>
      <c r="AE59" s="330">
        <v>3888</v>
      </c>
      <c r="AF59" s="329">
        <f>SUM(T59:AE59)</f>
        <v>46656</v>
      </c>
      <c r="AG59" s="331">
        <f>AF59</f>
        <v>46656</v>
      </c>
      <c r="AH59" s="341"/>
      <c r="AI59" s="300"/>
    </row>
    <row r="60" spans="17:35" x14ac:dyDescent="0.3">
      <c r="R60" s="7"/>
      <c r="S60" s="287" t="s">
        <v>27</v>
      </c>
      <c r="T60" s="292">
        <f t="shared" ref="T60:AG60" si="20">SUM(T13:T59)</f>
        <v>123647.63540366665</v>
      </c>
      <c r="U60" s="292">
        <f t="shared" si="20"/>
        <v>94753.581154916654</v>
      </c>
      <c r="V60" s="292">
        <f t="shared" si="20"/>
        <v>122861.58115491668</v>
      </c>
      <c r="W60" s="292">
        <f t="shared" si="20"/>
        <v>147625.99567280311</v>
      </c>
      <c r="X60" s="292">
        <f t="shared" si="20"/>
        <v>153086.69551566665</v>
      </c>
      <c r="Y60" s="292">
        <f t="shared" si="20"/>
        <v>121591.20775541668</v>
      </c>
      <c r="Z60" s="292">
        <f t="shared" si="20"/>
        <v>148427.14921536847</v>
      </c>
      <c r="AA60" s="292">
        <f t="shared" si="20"/>
        <v>107299.20835541667</v>
      </c>
      <c r="AB60" s="292">
        <f t="shared" si="20"/>
        <v>106602.60835541668</v>
      </c>
      <c r="AC60" s="292">
        <f t="shared" si="20"/>
        <v>127179.65210451301</v>
      </c>
      <c r="AD60" s="292">
        <f t="shared" si="20"/>
        <v>105683.20835541667</v>
      </c>
      <c r="AE60" s="292">
        <f t="shared" si="20"/>
        <v>104936.79835541666</v>
      </c>
      <c r="AF60" s="292">
        <f t="shared" si="20"/>
        <v>1463695.3213989348</v>
      </c>
      <c r="AG60" s="289">
        <f t="shared" si="20"/>
        <v>1463695.4199989347</v>
      </c>
    </row>
    <row r="61" spans="17:35" x14ac:dyDescent="0.3">
      <c r="S61" s="287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>
        <f>SUM(T60:AE60)</f>
        <v>1463695.3213989346</v>
      </c>
      <c r="AG61" s="289"/>
      <c r="AH61" t="s">
        <v>318</v>
      </c>
    </row>
    <row r="62" spans="17:35" x14ac:dyDescent="0.3">
      <c r="S62" s="287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>
        <f>SUM(T13:AE59)</f>
        <v>1463695.3213989378</v>
      </c>
      <c r="AG62" s="289"/>
      <c r="AH62" t="s">
        <v>318</v>
      </c>
    </row>
    <row r="63" spans="17:35" x14ac:dyDescent="0.3">
      <c r="S63" s="287" t="s">
        <v>254</v>
      </c>
      <c r="T63" s="293">
        <f t="shared" ref="T63:AE63" si="21">T11-T60</f>
        <v>22423.143394666957</v>
      </c>
      <c r="U63" s="293">
        <f t="shared" si="21"/>
        <v>22722.173977583647</v>
      </c>
      <c r="V63" s="293">
        <f t="shared" si="21"/>
        <v>3365.6621446669596</v>
      </c>
      <c r="W63" s="345">
        <f t="shared" si="21"/>
        <v>-17035.508289677789</v>
      </c>
      <c r="X63" s="345">
        <f t="shared" si="21"/>
        <v>-19967.586090770492</v>
      </c>
      <c r="Y63" s="293">
        <f t="shared" si="21"/>
        <v>22193.846957031419</v>
      </c>
      <c r="Z63" s="345">
        <f t="shared" si="21"/>
        <v>-9068.7561258109345</v>
      </c>
      <c r="AA63" s="293">
        <f t="shared" si="21"/>
        <v>29845.853922695605</v>
      </c>
      <c r="AB63" s="293">
        <f t="shared" si="21"/>
        <v>29463.838516972959</v>
      </c>
      <c r="AC63" s="293">
        <f t="shared" si="21"/>
        <v>7342.9870650148223</v>
      </c>
      <c r="AD63" s="293">
        <f t="shared" si="21"/>
        <v>28903.526962680728</v>
      </c>
      <c r="AE63" s="293">
        <f t="shared" si="21"/>
        <v>29338.485036965547</v>
      </c>
      <c r="AF63" s="293"/>
      <c r="AG63" s="294"/>
    </row>
    <row r="64" spans="17:35" x14ac:dyDescent="0.3">
      <c r="S64" s="278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289"/>
    </row>
    <row r="65" spans="19:33" x14ac:dyDescent="0.3">
      <c r="S65" s="287" t="s">
        <v>255</v>
      </c>
      <c r="T65" s="286">
        <f t="shared" ref="T65:AE65" si="22">T8+T63</f>
        <v>-34421.856605333043</v>
      </c>
      <c r="U65" s="286">
        <f t="shared" si="22"/>
        <v>-11699.682627749396</v>
      </c>
      <c r="V65" s="286">
        <f t="shared" si="22"/>
        <v>-8334.0204830824368</v>
      </c>
      <c r="W65" s="286">
        <f t="shared" si="22"/>
        <v>-25369.528772760226</v>
      </c>
      <c r="X65" s="286">
        <f t="shared" si="22"/>
        <v>-45337.114863530718</v>
      </c>
      <c r="Y65" s="286">
        <f t="shared" si="22"/>
        <v>-23143.267906499299</v>
      </c>
      <c r="Z65" s="286">
        <f t="shared" si="22"/>
        <v>-32212.024032310233</v>
      </c>
      <c r="AA65" s="286">
        <f t="shared" si="22"/>
        <v>-2366.170109614628</v>
      </c>
      <c r="AB65" s="286">
        <f t="shared" si="22"/>
        <v>27097.668407358331</v>
      </c>
      <c r="AC65" s="286">
        <f t="shared" si="22"/>
        <v>34440.655472373153</v>
      </c>
      <c r="AD65" s="286">
        <f t="shared" si="22"/>
        <v>63344.182435053881</v>
      </c>
      <c r="AE65" s="295">
        <f t="shared" si="22"/>
        <v>92682.667472019428</v>
      </c>
      <c r="AF65" s="295"/>
      <c r="AG65" s="289"/>
    </row>
    <row r="66" spans="19:33" x14ac:dyDescent="0.3">
      <c r="S66" s="296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297"/>
    </row>
    <row r="67" spans="19:33" x14ac:dyDescent="0.3"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211"/>
    </row>
    <row r="68" spans="19:33" x14ac:dyDescent="0.3">
      <c r="S68" s="9" t="s">
        <v>256</v>
      </c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211"/>
    </row>
    <row r="69" spans="19:33" x14ac:dyDescent="0.3">
      <c r="S69" t="s">
        <v>257</v>
      </c>
      <c r="T69" s="160">
        <v>3</v>
      </c>
      <c r="U69" s="160">
        <v>2</v>
      </c>
      <c r="V69" s="160">
        <v>2</v>
      </c>
      <c r="W69" s="160">
        <v>2</v>
      </c>
      <c r="X69" s="160">
        <v>2</v>
      </c>
      <c r="Y69" s="160">
        <v>2</v>
      </c>
      <c r="Z69" s="160">
        <v>3</v>
      </c>
      <c r="AA69" s="160">
        <v>2</v>
      </c>
      <c r="AB69" s="160">
        <v>2</v>
      </c>
      <c r="AC69" s="160">
        <v>2</v>
      </c>
      <c r="AD69" s="160">
        <v>2</v>
      </c>
      <c r="AE69" s="160">
        <v>2</v>
      </c>
      <c r="AF69" s="160"/>
      <c r="AG69" s="211">
        <f>SUM(T69:AE69)</f>
        <v>26</v>
      </c>
    </row>
  </sheetData>
  <mergeCells count="3">
    <mergeCell ref="S1:AG1"/>
    <mergeCell ref="S2:AG2"/>
    <mergeCell ref="S3:AG3"/>
  </mergeCells>
  <pageMargins left="0.7" right="0.7" top="0.75" bottom="0.75" header="0.3" footer="0.3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68"/>
  <sheetViews>
    <sheetView topLeftCell="S1" zoomScale="90" zoomScaleNormal="90" workbookViewId="0">
      <selection activeCell="S3" sqref="S3:AG3"/>
    </sheetView>
  </sheetViews>
  <sheetFormatPr defaultRowHeight="14.4" x14ac:dyDescent="0.3"/>
  <cols>
    <col min="1" max="1" width="20.5546875" customWidth="1"/>
    <col min="2" max="2" width="9.109375" customWidth="1"/>
    <col min="14" max="14" width="14.109375" customWidth="1"/>
    <col min="15" max="15" width="11" customWidth="1"/>
    <col min="16" max="16" width="13.5546875" customWidth="1"/>
    <col min="17" max="17" width="11.88671875" customWidth="1"/>
    <col min="19" max="19" width="54" customWidth="1"/>
    <col min="20" max="20" width="10" customWidth="1"/>
    <col min="21" max="21" width="11.44140625" customWidth="1"/>
    <col min="22" max="22" width="11" customWidth="1"/>
    <col min="23" max="23" width="11.44140625" customWidth="1"/>
    <col min="24" max="24" width="9.6640625" customWidth="1"/>
    <col min="25" max="25" width="10.5546875" customWidth="1"/>
    <col min="26" max="26" width="12.88671875" customWidth="1"/>
    <col min="27" max="27" width="10.109375" customWidth="1"/>
    <col min="28" max="28" width="9.6640625" customWidth="1"/>
    <col min="29" max="29" width="12.88671875" customWidth="1"/>
    <col min="30" max="30" width="11.44140625" customWidth="1"/>
    <col min="31" max="31" width="11" customWidth="1"/>
    <col min="32" max="32" width="18.5546875" customWidth="1"/>
    <col min="33" max="33" width="25" customWidth="1"/>
    <col min="34" max="34" width="17" customWidth="1"/>
    <col min="35" max="35" width="17.6640625" customWidth="1"/>
  </cols>
  <sheetData>
    <row r="1" spans="1:35" x14ac:dyDescent="0.3">
      <c r="A1" s="259" t="s">
        <v>214</v>
      </c>
      <c r="B1" s="260" t="s">
        <v>215</v>
      </c>
      <c r="C1" s="260" t="s">
        <v>216</v>
      </c>
      <c r="D1" s="260" t="s">
        <v>217</v>
      </c>
      <c r="E1" s="260" t="s">
        <v>218</v>
      </c>
      <c r="F1" s="260" t="s">
        <v>219</v>
      </c>
      <c r="G1" s="260" t="s">
        <v>220</v>
      </c>
      <c r="H1" s="261" t="s">
        <v>221</v>
      </c>
      <c r="I1" s="261" t="s">
        <v>222</v>
      </c>
      <c r="J1" s="261" t="s">
        <v>223</v>
      </c>
      <c r="K1" s="261" t="s">
        <v>224</v>
      </c>
      <c r="L1" s="261" t="s">
        <v>225</v>
      </c>
      <c r="M1" s="261" t="s">
        <v>226</v>
      </c>
      <c r="N1" s="262" t="s">
        <v>227</v>
      </c>
      <c r="O1" s="263" t="s">
        <v>228</v>
      </c>
      <c r="S1" s="421" t="s">
        <v>258</v>
      </c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3"/>
    </row>
    <row r="2" spans="1:35" ht="29.25" customHeight="1" x14ac:dyDescent="0.25">
      <c r="A2" s="260" t="s">
        <v>229</v>
      </c>
      <c r="B2" s="264">
        <v>202380.82613000018</v>
      </c>
      <c r="C2" s="264">
        <f>B6</f>
        <v>146070.7787983336</v>
      </c>
      <c r="D2" s="264">
        <f t="shared" ref="D2:M2" si="0">C6</f>
        <v>117475.7551325003</v>
      </c>
      <c r="E2" s="264">
        <f t="shared" si="0"/>
        <v>126227.24329958364</v>
      </c>
      <c r="F2" s="264">
        <f t="shared" si="0"/>
        <v>130590.48738312532</v>
      </c>
      <c r="G2" s="264">
        <f t="shared" si="0"/>
        <v>133119.10942489616</v>
      </c>
      <c r="H2" s="264">
        <f t="shared" si="0"/>
        <v>143785.05471244809</v>
      </c>
      <c r="I2" s="264">
        <f t="shared" si="0"/>
        <v>139358.39308955753</v>
      </c>
      <c r="J2" s="264">
        <f t="shared" si="0"/>
        <v>137145.06227811228</v>
      </c>
      <c r="K2" s="264">
        <f t="shared" si="0"/>
        <v>136066.44687238964</v>
      </c>
      <c r="L2" s="264">
        <f t="shared" si="0"/>
        <v>134522.63916952783</v>
      </c>
      <c r="M2" s="264">
        <f t="shared" si="0"/>
        <v>134586.7353180974</v>
      </c>
      <c r="N2" s="265"/>
      <c r="S2" s="424" t="s">
        <v>242</v>
      </c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6"/>
    </row>
    <row r="3" spans="1:35" ht="29.25" customHeight="1" x14ac:dyDescent="0.25">
      <c r="A3" s="273" t="s">
        <v>230</v>
      </c>
      <c r="B3" s="274">
        <f>128759.731466667-39999+1000</f>
        <v>89760.731466666999</v>
      </c>
      <c r="C3" s="274">
        <f>128759.731466667-41578+1000+350+49+300</f>
        <v>88880.731466666999</v>
      </c>
      <c r="D3" s="274">
        <f>128759.731466667+2658+3561</f>
        <v>134978.731466667</v>
      </c>
      <c r="E3" s="274">
        <f>128759.731466667-58778+60000+4072+900</f>
        <v>134953.731466667</v>
      </c>
      <c r="F3" s="274">
        <f>128759.731466667+5689+500+500+199</f>
        <v>135647.731466667</v>
      </c>
      <c r="G3" s="274">
        <f>135450+19000+1</f>
        <v>154451</v>
      </c>
      <c r="H3" s="274">
        <f>128759.731466667+6072+100</f>
        <v>134931.731466667</v>
      </c>
      <c r="I3" s="274">
        <f>128759.731466667+6072+100</f>
        <v>134931.731466667</v>
      </c>
      <c r="J3" s="274">
        <f>128759.731466667-12563+10000+5590.1+3201</f>
        <v>134987.831466667</v>
      </c>
      <c r="K3" s="274">
        <f>128759.731466666-4766+5590.1+2795+600</f>
        <v>132978.83146666602</v>
      </c>
      <c r="L3" s="274">
        <f>128759.731466667+5590.1+300+1</f>
        <v>134650.831466667</v>
      </c>
      <c r="M3" s="274">
        <f>128759.731466667-15231+5590.1+6072+6072+3201-500</f>
        <v>133963.831466667</v>
      </c>
      <c r="N3" s="275">
        <f>SUM(B3:M3)</f>
        <v>1545117.4461333361</v>
      </c>
      <c r="O3" s="266">
        <v>1545116.7776000001</v>
      </c>
      <c r="P3" s="267" t="s">
        <v>231</v>
      </c>
      <c r="S3" s="427" t="s">
        <v>353</v>
      </c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9"/>
    </row>
    <row r="4" spans="1:35" ht="27" customHeight="1" x14ac:dyDescent="0.25">
      <c r="A4" s="260" t="s">
        <v>232</v>
      </c>
      <c r="B4" s="261">
        <f>SUM(B2:B3)</f>
        <v>292141.5575966672</v>
      </c>
      <c r="C4" s="261">
        <f t="shared" ref="C4:M4" si="1">SUM(C2:C3)</f>
        <v>234951.5102650006</v>
      </c>
      <c r="D4" s="261">
        <f t="shared" si="1"/>
        <v>252454.48659916729</v>
      </c>
      <c r="E4" s="261">
        <f>SUM(E2:E3)</f>
        <v>261180.97476625064</v>
      </c>
      <c r="F4" s="261">
        <f>SUM(F2:F3)</f>
        <v>266238.21884979232</v>
      </c>
      <c r="G4" s="261">
        <f>SUM(G2:G3)</f>
        <v>287570.10942489619</v>
      </c>
      <c r="H4" s="261">
        <f>SUM(H2:H3)</f>
        <v>278716.78617911506</v>
      </c>
      <c r="I4" s="261">
        <f t="shared" si="1"/>
        <v>274290.12455622456</v>
      </c>
      <c r="J4" s="261">
        <f t="shared" si="1"/>
        <v>272132.89374477929</v>
      </c>
      <c r="K4" s="261">
        <f t="shared" si="1"/>
        <v>269045.27833905566</v>
      </c>
      <c r="L4" s="261">
        <f t="shared" si="1"/>
        <v>269173.4706361948</v>
      </c>
      <c r="M4" s="261">
        <f t="shared" si="1"/>
        <v>268550.56678476441</v>
      </c>
      <c r="N4" s="268"/>
      <c r="P4" s="267"/>
      <c r="S4" s="27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279" t="s">
        <v>243</v>
      </c>
      <c r="AG4" s="280" t="s">
        <v>244</v>
      </c>
    </row>
    <row r="5" spans="1:35" ht="24" customHeight="1" x14ac:dyDescent="0.25">
      <c r="A5" s="260" t="s">
        <v>233</v>
      </c>
      <c r="B5" s="269">
        <f>0.5*B3 + 0.5*B2</f>
        <v>146070.7787983336</v>
      </c>
      <c r="C5" s="269">
        <f t="shared" ref="C5:M5" si="2">0.5*C3 + 0.5*C2</f>
        <v>117475.7551325003</v>
      </c>
      <c r="D5" s="269">
        <f t="shared" si="2"/>
        <v>126227.24329958364</v>
      </c>
      <c r="E5" s="269">
        <f t="shared" si="2"/>
        <v>130590.48738312532</v>
      </c>
      <c r="F5" s="269">
        <f t="shared" si="2"/>
        <v>133119.10942489616</v>
      </c>
      <c r="G5" s="269">
        <f t="shared" si="2"/>
        <v>143785.05471244809</v>
      </c>
      <c r="H5" s="269">
        <f t="shared" si="2"/>
        <v>139358.39308955753</v>
      </c>
      <c r="I5" s="269">
        <f t="shared" si="2"/>
        <v>137145.06227811228</v>
      </c>
      <c r="J5" s="269">
        <f t="shared" si="2"/>
        <v>136066.44687238964</v>
      </c>
      <c r="K5" s="269">
        <f t="shared" si="2"/>
        <v>134522.63916952783</v>
      </c>
      <c r="L5" s="269">
        <f t="shared" si="2"/>
        <v>134586.7353180974</v>
      </c>
      <c r="M5" s="269">
        <f t="shared" si="2"/>
        <v>134275.2833923822</v>
      </c>
      <c r="N5" s="270">
        <f>SUM(B5:M5)</f>
        <v>1613222.9888709541</v>
      </c>
      <c r="P5" s="267" t="s">
        <v>231</v>
      </c>
      <c r="S5" s="278"/>
      <c r="T5" s="281">
        <v>41821</v>
      </c>
      <c r="U5" s="281">
        <v>41852</v>
      </c>
      <c r="V5" s="281">
        <v>41883</v>
      </c>
      <c r="W5" s="281">
        <v>41913</v>
      </c>
      <c r="X5" s="281">
        <v>41944</v>
      </c>
      <c r="Y5" s="281">
        <v>41974</v>
      </c>
      <c r="Z5" s="281">
        <v>42005</v>
      </c>
      <c r="AA5" s="281">
        <v>42036</v>
      </c>
      <c r="AB5" s="281">
        <v>42064</v>
      </c>
      <c r="AC5" s="281">
        <v>42095</v>
      </c>
      <c r="AD5" s="281">
        <v>42125</v>
      </c>
      <c r="AE5" s="281">
        <v>42156</v>
      </c>
      <c r="AF5" s="281" t="s">
        <v>245</v>
      </c>
      <c r="AG5" s="282" t="s">
        <v>12</v>
      </c>
      <c r="AH5" s="328"/>
      <c r="AI5" s="9" t="s">
        <v>246</v>
      </c>
    </row>
    <row r="6" spans="1:35" ht="44.25" customHeight="1" x14ac:dyDescent="0.25">
      <c r="A6" s="260" t="s">
        <v>234</v>
      </c>
      <c r="B6" s="261">
        <f>B4-B5</f>
        <v>146070.7787983336</v>
      </c>
      <c r="C6" s="261">
        <f t="shared" ref="C6:M6" si="3">C4-C5</f>
        <v>117475.7551325003</v>
      </c>
      <c r="D6" s="261">
        <f t="shared" si="3"/>
        <v>126227.24329958364</v>
      </c>
      <c r="E6" s="261">
        <f t="shared" si="3"/>
        <v>130590.48738312532</v>
      </c>
      <c r="F6" s="261">
        <f t="shared" si="3"/>
        <v>133119.10942489616</v>
      </c>
      <c r="G6" s="261">
        <f t="shared" si="3"/>
        <v>143785.05471244809</v>
      </c>
      <c r="H6" s="261">
        <f t="shared" si="3"/>
        <v>139358.39308955753</v>
      </c>
      <c r="I6" s="261">
        <f t="shared" si="3"/>
        <v>137145.06227811228</v>
      </c>
      <c r="J6" s="261">
        <f t="shared" si="3"/>
        <v>136066.44687238964</v>
      </c>
      <c r="K6" s="261">
        <f t="shared" si="3"/>
        <v>134522.63916952783</v>
      </c>
      <c r="L6" s="261">
        <f t="shared" si="3"/>
        <v>134586.7353180974</v>
      </c>
      <c r="M6" s="261">
        <f t="shared" si="3"/>
        <v>134275.2833923822</v>
      </c>
      <c r="N6" s="266"/>
      <c r="O6" s="276"/>
      <c r="P6" s="267"/>
      <c r="S6" s="278"/>
      <c r="T6" s="281" t="s">
        <v>247</v>
      </c>
      <c r="U6" s="281" t="s">
        <v>247</v>
      </c>
      <c r="V6" s="281" t="s">
        <v>247</v>
      </c>
      <c r="W6" s="281" t="s">
        <v>247</v>
      </c>
      <c r="X6" s="281" t="s">
        <v>247</v>
      </c>
      <c r="Y6" s="281" t="s">
        <v>247</v>
      </c>
      <c r="Z6" s="281" t="s">
        <v>247</v>
      </c>
      <c r="AA6" s="281" t="s">
        <v>247</v>
      </c>
      <c r="AB6" s="281" t="s">
        <v>247</v>
      </c>
      <c r="AC6" s="281" t="s">
        <v>247</v>
      </c>
      <c r="AD6" s="281" t="s">
        <v>247</v>
      </c>
      <c r="AE6" s="281" t="s">
        <v>247</v>
      </c>
      <c r="AF6" s="283" t="s">
        <v>247</v>
      </c>
      <c r="AG6" s="283" t="s">
        <v>247</v>
      </c>
      <c r="AH6" s="284"/>
    </row>
    <row r="7" spans="1:35" ht="19.5" customHeight="1" x14ac:dyDescent="0.25">
      <c r="A7" s="271" t="s">
        <v>235</v>
      </c>
      <c r="B7" s="272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66"/>
      <c r="S7" s="27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285"/>
      <c r="AH7" s="160"/>
    </row>
    <row r="8" spans="1:35" ht="15" x14ac:dyDescent="0.25">
      <c r="A8" s="271" t="s">
        <v>236</v>
      </c>
      <c r="B8" s="272">
        <f t="shared" ref="B8:M8" si="4">B5+B7</f>
        <v>146070.7787983336</v>
      </c>
      <c r="C8" s="272">
        <f t="shared" si="4"/>
        <v>117475.7551325003</v>
      </c>
      <c r="D8" s="272">
        <f t="shared" si="4"/>
        <v>126227.24329958364</v>
      </c>
      <c r="E8" s="272">
        <f t="shared" si="4"/>
        <v>130590.48738312532</v>
      </c>
      <c r="F8" s="272">
        <f t="shared" si="4"/>
        <v>133119.10942489616</v>
      </c>
      <c r="G8" s="272">
        <f t="shared" si="4"/>
        <v>143785.05471244809</v>
      </c>
      <c r="H8" s="272">
        <f t="shared" si="4"/>
        <v>139358.39308955753</v>
      </c>
      <c r="I8" s="272">
        <f t="shared" si="4"/>
        <v>137145.06227811228</v>
      </c>
      <c r="J8" s="272">
        <f t="shared" si="4"/>
        <v>136066.44687238964</v>
      </c>
      <c r="K8" s="272">
        <f t="shared" si="4"/>
        <v>134522.63916952783</v>
      </c>
      <c r="L8" s="272">
        <f t="shared" si="4"/>
        <v>134586.7353180974</v>
      </c>
      <c r="M8" s="272">
        <f t="shared" si="4"/>
        <v>134275.2833923822</v>
      </c>
      <c r="N8" s="266">
        <f>SUM(B8:M8)</f>
        <v>1613222.9888709541</v>
      </c>
      <c r="P8" s="277"/>
      <c r="S8" s="278" t="s">
        <v>248</v>
      </c>
      <c r="T8" s="340">
        <f>SUM('Stat Fin Position'!C7:C9)</f>
        <v>-56845</v>
      </c>
      <c r="U8" s="286">
        <f t="shared" ref="U8:AE8" si="5">T64</f>
        <v>-33121.672242159999</v>
      </c>
      <c r="V8" s="286">
        <f t="shared" si="5"/>
        <v>-9558.6661922109633</v>
      </c>
      <c r="W8" s="286">
        <f t="shared" si="5"/>
        <v>-5732.171975178615</v>
      </c>
      <c r="X8" s="286">
        <f t="shared" si="5"/>
        <v>-21888.701327106392</v>
      </c>
      <c r="Y8" s="286">
        <f t="shared" si="5"/>
        <v>-35631.758930126874</v>
      </c>
      <c r="Z8" s="286">
        <f t="shared" si="5"/>
        <v>-18417.24377559546</v>
      </c>
      <c r="AA8" s="286">
        <f t="shared" si="5"/>
        <v>-35423.544714406409</v>
      </c>
      <c r="AB8" s="286">
        <f t="shared" si="5"/>
        <v>-11199.022594210823</v>
      </c>
      <c r="AC8" s="286">
        <f t="shared" si="5"/>
        <v>12480.484120262117</v>
      </c>
      <c r="AD8" s="286">
        <f t="shared" si="5"/>
        <v>14099.139382776921</v>
      </c>
      <c r="AE8" s="286">
        <f t="shared" si="5"/>
        <v>37298.334542957629</v>
      </c>
      <c r="AF8" s="286"/>
      <c r="AG8" s="285"/>
      <c r="AH8" s="160"/>
      <c r="AI8" t="s">
        <v>313</v>
      </c>
    </row>
    <row r="9" spans="1:35" ht="15" x14ac:dyDescent="0.25">
      <c r="S9" s="278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285"/>
      <c r="AH9" s="160"/>
    </row>
    <row r="10" spans="1:35" ht="15" x14ac:dyDescent="0.25">
      <c r="S10" s="287" t="s">
        <v>249</v>
      </c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285"/>
      <c r="AH10" s="160"/>
      <c r="AI10" s="300"/>
    </row>
    <row r="11" spans="1:35" ht="15" x14ac:dyDescent="0.25">
      <c r="A11" t="s">
        <v>237</v>
      </c>
      <c r="B11" t="s">
        <v>238</v>
      </c>
      <c r="P11" s="277"/>
      <c r="S11" s="291" t="s">
        <v>250</v>
      </c>
      <c r="T11" s="288">
        <f>B8</f>
        <v>146070.7787983336</v>
      </c>
      <c r="U11" s="288">
        <f t="shared" ref="U11:AF11" si="6">C8</f>
        <v>117475.7551325003</v>
      </c>
      <c r="V11" s="288">
        <f t="shared" si="6"/>
        <v>126227.24329958364</v>
      </c>
      <c r="W11" s="288">
        <f t="shared" si="6"/>
        <v>130590.48738312532</v>
      </c>
      <c r="X11" s="288">
        <f t="shared" si="6"/>
        <v>133119.10942489616</v>
      </c>
      <c r="Y11" s="288">
        <f t="shared" si="6"/>
        <v>143785.05471244809</v>
      </c>
      <c r="Z11" s="288">
        <f t="shared" si="6"/>
        <v>139358.39308955753</v>
      </c>
      <c r="AA11" s="288">
        <f t="shared" si="6"/>
        <v>137145.06227811228</v>
      </c>
      <c r="AB11" s="288">
        <f t="shared" si="6"/>
        <v>136066.44687238964</v>
      </c>
      <c r="AC11" s="288">
        <f t="shared" si="6"/>
        <v>134522.63916952783</v>
      </c>
      <c r="AD11" s="288">
        <f t="shared" si="6"/>
        <v>134586.7353180974</v>
      </c>
      <c r="AE11" s="288">
        <f t="shared" si="6"/>
        <v>134275.2833923822</v>
      </c>
      <c r="AF11" s="288">
        <f t="shared" si="6"/>
        <v>1613222.9888709541</v>
      </c>
      <c r="AG11" s="290">
        <f>N5</f>
        <v>1613222.9888709541</v>
      </c>
      <c r="AH11" s="160"/>
      <c r="AI11" s="300" t="s">
        <v>251</v>
      </c>
    </row>
    <row r="12" spans="1:35" ht="15" x14ac:dyDescent="0.25">
      <c r="B12" t="s">
        <v>239</v>
      </c>
      <c r="S12" s="287" t="s">
        <v>259</v>
      </c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162"/>
      <c r="AG12" s="292" t="s">
        <v>262</v>
      </c>
      <c r="AH12" s="334" t="s">
        <v>263</v>
      </c>
      <c r="AI12" s="300"/>
    </row>
    <row r="13" spans="1:35" ht="15" x14ac:dyDescent="0.25">
      <c r="B13" t="s">
        <v>240</v>
      </c>
      <c r="S13" s="299" t="s">
        <v>260</v>
      </c>
      <c r="T13" s="329">
        <f>(AG13/12)-18000</f>
        <v>15812.716666666667</v>
      </c>
      <c r="U13" s="329">
        <f>(33812.72)-16500</f>
        <v>17312.72</v>
      </c>
      <c r="V13" s="329">
        <f>(33812.72)+6200</f>
        <v>40012.720000000001</v>
      </c>
      <c r="W13" s="329">
        <f>(33812.72)+6100</f>
        <v>39912.720000000001</v>
      </c>
      <c r="X13" s="329">
        <f>(33812.72)+7890</f>
        <v>41702.720000000001</v>
      </c>
      <c r="Y13" s="329">
        <f>(33812.72)+10950-145.0006</f>
        <v>44617.719400000002</v>
      </c>
      <c r="Z13" s="329">
        <f>(33812.72)+550</f>
        <v>34362.720000000001</v>
      </c>
      <c r="AA13" s="329">
        <f>(33812.72)+590</f>
        <v>34402.720000000001</v>
      </c>
      <c r="AB13" s="329">
        <f>(33812.72)+655</f>
        <v>34467.72</v>
      </c>
      <c r="AC13" s="329">
        <f>(33812.72)+550</f>
        <v>34362.720000000001</v>
      </c>
      <c r="AD13" s="329">
        <f>(33812.72)+620</f>
        <v>34432.720000000001</v>
      </c>
      <c r="AE13" s="329">
        <f>(33812.72)+540-0.04</f>
        <v>34352.68</v>
      </c>
      <c r="AF13" s="329">
        <f>SUM(T13:AE13)</f>
        <v>405752.59606666659</v>
      </c>
      <c r="AG13" s="329">
        <f>AH13*1.1</f>
        <v>405752.60000000003</v>
      </c>
      <c r="AH13" s="335">
        <v>368866</v>
      </c>
      <c r="AI13" s="300"/>
    </row>
    <row r="14" spans="1:35" ht="15" x14ac:dyDescent="0.25">
      <c r="B14" t="s">
        <v>241</v>
      </c>
      <c r="S14" s="299" t="s">
        <v>261</v>
      </c>
      <c r="T14" s="329">
        <f>(AG14/12)-2700</f>
        <v>813.76666666666688</v>
      </c>
      <c r="U14" s="329">
        <f>(3513.767)-2600</f>
        <v>913.76699999999983</v>
      </c>
      <c r="V14" s="329">
        <f>(3513.767)+600</f>
        <v>4113.7669999999998</v>
      </c>
      <c r="W14" s="329">
        <f>(3513.767)+856</f>
        <v>4369.7669999999998</v>
      </c>
      <c r="X14" s="329">
        <f>(3513.767)+990</f>
        <v>4503.7669999999998</v>
      </c>
      <c r="Y14" s="329">
        <f>(3513.767)+1870-113</f>
        <v>5270.7669999999998</v>
      </c>
      <c r="Z14" s="329">
        <f>(3513.767)+200</f>
        <v>3713.7669999999998</v>
      </c>
      <c r="AA14" s="329">
        <f>(3513.767)+321</f>
        <v>3834.7669999999998</v>
      </c>
      <c r="AB14" s="329">
        <f>(3513.767)+145</f>
        <v>3658.7669999999998</v>
      </c>
      <c r="AC14" s="329">
        <f>(3513.767)+124</f>
        <v>3637.7669999999998</v>
      </c>
      <c r="AD14" s="329">
        <f>(3513.767)+208</f>
        <v>3721.7669999999998</v>
      </c>
      <c r="AE14" s="329">
        <f>(3513.767)+99</f>
        <v>3612.7669999999998</v>
      </c>
      <c r="AF14" s="329">
        <f t="shared" ref="AF14:AF55" si="7">SUM(T14:AE14)</f>
        <v>42165.203666666668</v>
      </c>
      <c r="AG14" s="329">
        <f t="shared" ref="AG14:AG33" si="8">AH14*1.1</f>
        <v>42165.200000000004</v>
      </c>
      <c r="AH14" s="335">
        <v>38332</v>
      </c>
      <c r="AI14" s="300" t="s">
        <v>252</v>
      </c>
    </row>
    <row r="15" spans="1:35" ht="15" x14ac:dyDescent="0.25">
      <c r="R15" s="7"/>
      <c r="S15" s="346" t="s">
        <v>176</v>
      </c>
      <c r="T15" s="330">
        <f>AG15/12</f>
        <v>100.28333333333335</v>
      </c>
      <c r="U15" s="330">
        <v>100.28</v>
      </c>
      <c r="V15" s="330">
        <v>100.28</v>
      </c>
      <c r="W15" s="330">
        <v>100.28</v>
      </c>
      <c r="X15" s="330">
        <v>100.28</v>
      </c>
      <c r="Y15" s="330">
        <v>100.28</v>
      </c>
      <c r="Z15" s="330">
        <v>100.28</v>
      </c>
      <c r="AA15" s="330">
        <v>100.28</v>
      </c>
      <c r="AB15" s="330">
        <v>100.28</v>
      </c>
      <c r="AC15" s="330">
        <v>100.28</v>
      </c>
      <c r="AD15" s="330">
        <v>100.28</v>
      </c>
      <c r="AE15" s="330">
        <f>100.28+0.04</f>
        <v>100.32000000000001</v>
      </c>
      <c r="AF15" s="329">
        <f t="shared" si="7"/>
        <v>1203.4033333333332</v>
      </c>
      <c r="AG15" s="329">
        <f t="shared" si="8"/>
        <v>1203.4000000000001</v>
      </c>
      <c r="AH15" s="336">
        <v>1094</v>
      </c>
      <c r="AI15" s="300"/>
    </row>
    <row r="16" spans="1:35" ht="15" x14ac:dyDescent="0.25">
      <c r="R16" s="7"/>
      <c r="S16" s="346" t="s">
        <v>153</v>
      </c>
      <c r="T16" s="330">
        <f>(AG16/12)-50</f>
        <v>175.5916666666667</v>
      </c>
      <c r="U16" s="330">
        <f>(225.59)-80</f>
        <v>145.59</v>
      </c>
      <c r="V16" s="330">
        <f>(225.59)-20</f>
        <v>205.59</v>
      </c>
      <c r="W16" s="330">
        <f>(225.59)+25</f>
        <v>250.59</v>
      </c>
      <c r="X16" s="330">
        <f>(225.59)+50-8.98</f>
        <v>266.61</v>
      </c>
      <c r="Y16" s="330">
        <f>(225.59)+60</f>
        <v>285.59000000000003</v>
      </c>
      <c r="Z16" s="330">
        <f>(225.59)+28</f>
        <v>253.59</v>
      </c>
      <c r="AA16" s="330">
        <f>(225.59)+26</f>
        <v>251.59</v>
      </c>
      <c r="AB16" s="330">
        <f>(225.59)-7</f>
        <v>218.59</v>
      </c>
      <c r="AC16" s="330">
        <f>(225.59)-18</f>
        <v>207.59</v>
      </c>
      <c r="AD16" s="330">
        <f>(225.59)+5</f>
        <v>230.59</v>
      </c>
      <c r="AE16" s="330">
        <f>(225.59)-10</f>
        <v>215.59</v>
      </c>
      <c r="AF16" s="329">
        <f t="shared" si="7"/>
        <v>2707.1016666666674</v>
      </c>
      <c r="AG16" s="329">
        <f t="shared" si="8"/>
        <v>2707.1000000000004</v>
      </c>
      <c r="AH16" s="336">
        <v>2461</v>
      </c>
      <c r="AI16" s="300" t="s">
        <v>304</v>
      </c>
    </row>
    <row r="17" spans="15:45" ht="15" x14ac:dyDescent="0.25">
      <c r="R17" s="7"/>
      <c r="S17" s="346" t="s">
        <v>147</v>
      </c>
      <c r="T17" s="330">
        <f>(AG17/12)-8</f>
        <v>151.40833333333333</v>
      </c>
      <c r="U17" s="330">
        <f>(159.41)-15</f>
        <v>144.41</v>
      </c>
      <c r="V17" s="330">
        <f>(159.41)+12</f>
        <v>171.41</v>
      </c>
      <c r="W17" s="330">
        <f>(159.41)+31</f>
        <v>190.41</v>
      </c>
      <c r="X17" s="330">
        <f>(159.41)+15</f>
        <v>174.41</v>
      </c>
      <c r="Y17" s="330">
        <f>(159.41)+18</f>
        <v>177.41</v>
      </c>
      <c r="Z17" s="330">
        <f>(159.41)-9</f>
        <v>150.41</v>
      </c>
      <c r="AA17" s="330">
        <f>(159.41)-20</f>
        <v>139.41</v>
      </c>
      <c r="AB17" s="330">
        <f>(159.41)+15</f>
        <v>174.41</v>
      </c>
      <c r="AC17" s="330">
        <f>(159.41)+14</f>
        <v>173.41</v>
      </c>
      <c r="AD17" s="330">
        <f>(159.41)-23</f>
        <v>136.41</v>
      </c>
      <c r="AE17" s="330">
        <f>(159.41)-30-0.02</f>
        <v>129.38999999999999</v>
      </c>
      <c r="AF17" s="329">
        <f t="shared" si="7"/>
        <v>1912.8983333333335</v>
      </c>
      <c r="AG17" s="329">
        <f t="shared" si="8"/>
        <v>1912.9</v>
      </c>
      <c r="AH17" s="336">
        <v>1739</v>
      </c>
      <c r="AI17" s="300"/>
    </row>
    <row r="18" spans="15:45" ht="15" x14ac:dyDescent="0.25">
      <c r="R18" s="7"/>
      <c r="S18" s="354" t="s">
        <v>210</v>
      </c>
      <c r="T18" s="330">
        <f>(AG18/12)-80</f>
        <v>195.00000000000006</v>
      </c>
      <c r="U18" s="330">
        <f>(275)-65</f>
        <v>210</v>
      </c>
      <c r="V18" s="330">
        <f>(275)+7</f>
        <v>282</v>
      </c>
      <c r="W18" s="330">
        <f>(275)+13</f>
        <v>288</v>
      </c>
      <c r="X18" s="330">
        <f>(275)+31-14</f>
        <v>292</v>
      </c>
      <c r="Y18" s="330">
        <f>(275)+50</f>
        <v>325</v>
      </c>
      <c r="Z18" s="330">
        <f>(275)+27</f>
        <v>302</v>
      </c>
      <c r="AA18" s="330">
        <f>(275)+14</f>
        <v>289</v>
      </c>
      <c r="AB18" s="330">
        <f>(275)+9</f>
        <v>284</v>
      </c>
      <c r="AC18" s="330">
        <f>(275)+5</f>
        <v>280</v>
      </c>
      <c r="AD18" s="330">
        <f>(275)+3</f>
        <v>278</v>
      </c>
      <c r="AE18" s="330">
        <v>275</v>
      </c>
      <c r="AF18" s="329">
        <f t="shared" si="7"/>
        <v>3300</v>
      </c>
      <c r="AG18" s="329">
        <f t="shared" si="8"/>
        <v>3300.0000000000005</v>
      </c>
      <c r="AH18" s="336">
        <v>3000</v>
      </c>
      <c r="AI18" s="300"/>
    </row>
    <row r="19" spans="15:45" ht="15" x14ac:dyDescent="0.25">
      <c r="O19" s="10"/>
      <c r="Q19" s="10"/>
      <c r="R19" s="7"/>
      <c r="S19" s="346" t="s">
        <v>4</v>
      </c>
      <c r="T19" s="330">
        <f>(AG19/12)-350</f>
        <v>468.2166666666667</v>
      </c>
      <c r="U19" s="330">
        <f>(818.22)-180</f>
        <v>638.22</v>
      </c>
      <c r="V19" s="330">
        <f>(818.22)+58</f>
        <v>876.22</v>
      </c>
      <c r="W19" s="330">
        <f>(818.22)+89</f>
        <v>907.22</v>
      </c>
      <c r="X19" s="330">
        <f>(818.22)+131</f>
        <v>949.22</v>
      </c>
      <c r="Y19" s="330">
        <f>(818.22)+268</f>
        <v>1086.22</v>
      </c>
      <c r="Z19" s="330">
        <f>(818.22)+40</f>
        <v>858.22</v>
      </c>
      <c r="AA19" s="330">
        <f>(818.22)+160</f>
        <v>978.22</v>
      </c>
      <c r="AB19" s="330">
        <f>(818.22)+110</f>
        <v>928.22</v>
      </c>
      <c r="AC19" s="330">
        <f>(818.22)-136</f>
        <v>682.22</v>
      </c>
      <c r="AD19" s="330">
        <f>(818.22)-110</f>
        <v>708.22</v>
      </c>
      <c r="AE19" s="330">
        <f>(818.22)-80-0.04</f>
        <v>738.18000000000006</v>
      </c>
      <c r="AF19" s="329">
        <f t="shared" si="7"/>
        <v>9818.5966666666682</v>
      </c>
      <c r="AG19" s="329">
        <f t="shared" si="8"/>
        <v>9818.6</v>
      </c>
      <c r="AH19" s="336">
        <v>8926</v>
      </c>
      <c r="AI19" s="300"/>
    </row>
    <row r="20" spans="15:45" ht="15" x14ac:dyDescent="0.25">
      <c r="Q20" s="10"/>
      <c r="R20" s="7"/>
      <c r="S20" s="346" t="s">
        <v>156</v>
      </c>
      <c r="T20" s="330">
        <f>(AG20/12)+97</f>
        <v>1797.325</v>
      </c>
      <c r="U20" s="330">
        <f>(1700.33)+145</f>
        <v>1845.33</v>
      </c>
      <c r="V20" s="330">
        <f>(1700.33)+90</f>
        <v>1790.33</v>
      </c>
      <c r="W20" s="330">
        <f>(1700.33)-29</f>
        <v>1671.33</v>
      </c>
      <c r="X20" s="330">
        <f>(1700.33)-150</f>
        <v>1550.33</v>
      </c>
      <c r="Y20" s="330">
        <f>(1700.33)-448</f>
        <v>1252.33</v>
      </c>
      <c r="Z20" s="330">
        <f>(1700.33)+75</f>
        <v>1775.33</v>
      </c>
      <c r="AA20" s="330">
        <f>(1700.33)+13</f>
        <v>1713.33</v>
      </c>
      <c r="AB20" s="330">
        <f>(1700.33)+134</f>
        <v>1834.33</v>
      </c>
      <c r="AC20" s="330">
        <f>(1700.33)+189</f>
        <v>1889.33</v>
      </c>
      <c r="AD20" s="330">
        <f>(1700.33)+112</f>
        <v>1812.33</v>
      </c>
      <c r="AE20" s="330">
        <f>(1700.33)-228-0.06</f>
        <v>1472.27</v>
      </c>
      <c r="AF20" s="329">
        <f t="shared" si="7"/>
        <v>20403.895</v>
      </c>
      <c r="AG20" s="329">
        <f t="shared" si="8"/>
        <v>20403.900000000001</v>
      </c>
      <c r="AH20" s="337">
        <v>18549</v>
      </c>
      <c r="AI20" s="300"/>
    </row>
    <row r="21" spans="15:45" x14ac:dyDescent="0.3">
      <c r="O21" s="10"/>
      <c r="P21" s="10"/>
      <c r="R21" s="7"/>
      <c r="S21" s="346" t="s">
        <v>3</v>
      </c>
      <c r="T21" s="330">
        <f t="shared" ref="T21:T55" si="9">AG21/12</f>
        <v>213.4</v>
      </c>
      <c r="U21" s="330">
        <f t="shared" ref="U21:AE21" si="10">T21</f>
        <v>213.4</v>
      </c>
      <c r="V21" s="330">
        <f t="shared" si="10"/>
        <v>213.4</v>
      </c>
      <c r="W21" s="330">
        <f t="shared" si="10"/>
        <v>213.4</v>
      </c>
      <c r="X21" s="330">
        <f t="shared" si="10"/>
        <v>213.4</v>
      </c>
      <c r="Y21" s="330">
        <f t="shared" si="10"/>
        <v>213.4</v>
      </c>
      <c r="Z21" s="330">
        <f t="shared" si="10"/>
        <v>213.4</v>
      </c>
      <c r="AA21" s="330">
        <f t="shared" si="10"/>
        <v>213.4</v>
      </c>
      <c r="AB21" s="330">
        <f t="shared" si="10"/>
        <v>213.4</v>
      </c>
      <c r="AC21" s="330">
        <f t="shared" si="10"/>
        <v>213.4</v>
      </c>
      <c r="AD21" s="330">
        <f t="shared" si="10"/>
        <v>213.4</v>
      </c>
      <c r="AE21" s="330">
        <f t="shared" si="10"/>
        <v>213.4</v>
      </c>
      <c r="AF21" s="329">
        <f t="shared" si="7"/>
        <v>2560.8000000000006</v>
      </c>
      <c r="AG21" s="329">
        <f t="shared" si="8"/>
        <v>2560.8000000000002</v>
      </c>
      <c r="AH21" s="336">
        <v>2328</v>
      </c>
      <c r="AI21" s="300"/>
    </row>
    <row r="22" spans="15:45" x14ac:dyDescent="0.3">
      <c r="Q22" s="10"/>
      <c r="R22" s="7"/>
      <c r="S22" s="346" t="s">
        <v>168</v>
      </c>
      <c r="T22" s="330">
        <f>(AG22/12)+18</f>
        <v>917.61666666666679</v>
      </c>
      <c r="U22" s="330">
        <f>(899.62)+13</f>
        <v>912.62</v>
      </c>
      <c r="V22" s="330">
        <f>(899.62)+45</f>
        <v>944.62</v>
      </c>
      <c r="W22" s="330">
        <f>(899.62)-23</f>
        <v>876.62</v>
      </c>
      <c r="X22" s="330">
        <f>(899.62)+9</f>
        <v>908.62</v>
      </c>
      <c r="Y22" s="330">
        <f>(899.62)-4</f>
        <v>895.62</v>
      </c>
      <c r="Z22" s="330">
        <f>(899.62)+24</f>
        <v>923.62</v>
      </c>
      <c r="AA22" s="330">
        <f>(899.62)-44</f>
        <v>855.62</v>
      </c>
      <c r="AB22" s="330">
        <f>(899.62)+11</f>
        <v>910.62</v>
      </c>
      <c r="AC22" s="330">
        <f>(899.62)+8</f>
        <v>907.62</v>
      </c>
      <c r="AD22" s="330">
        <f>(899.62)-12</f>
        <v>887.62</v>
      </c>
      <c r="AE22" s="330">
        <f>(899.62)-45-0.04</f>
        <v>854.58</v>
      </c>
      <c r="AF22" s="329">
        <f t="shared" si="7"/>
        <v>10795.396666666667</v>
      </c>
      <c r="AG22" s="329">
        <f t="shared" si="8"/>
        <v>10795.400000000001</v>
      </c>
      <c r="AH22" s="336">
        <v>9814</v>
      </c>
      <c r="AI22" s="300"/>
    </row>
    <row r="23" spans="15:45" x14ac:dyDescent="0.3">
      <c r="P23" s="10"/>
      <c r="Q23" s="10"/>
      <c r="R23" s="7"/>
      <c r="S23" s="346" t="s">
        <v>169</v>
      </c>
      <c r="T23" s="330">
        <f>(AG23/12)-35</f>
        <v>59.783333333333346</v>
      </c>
      <c r="U23" s="330">
        <f>(94.78)-14</f>
        <v>80.78</v>
      </c>
      <c r="V23" s="330">
        <f>(94.78)+5</f>
        <v>99.78</v>
      </c>
      <c r="W23" s="330">
        <f>(94.78)+11.04</f>
        <v>105.82</v>
      </c>
      <c r="X23" s="330">
        <f>(94.78)+15</f>
        <v>109.78</v>
      </c>
      <c r="Y23" s="330">
        <f>(94.78)+25</f>
        <v>119.78</v>
      </c>
      <c r="Z23" s="330">
        <f>(94.78)+18</f>
        <v>112.78</v>
      </c>
      <c r="AA23" s="330">
        <f>(94.78)+11</f>
        <v>105.78</v>
      </c>
      <c r="AB23" s="330">
        <f>(94.78)+5</f>
        <v>99.78</v>
      </c>
      <c r="AC23" s="330">
        <f>(94.78)-8</f>
        <v>86.78</v>
      </c>
      <c r="AD23" s="330">
        <f>(94.78)-11</f>
        <v>83.78</v>
      </c>
      <c r="AE23" s="330">
        <f>(94.78)-22</f>
        <v>72.78</v>
      </c>
      <c r="AF23" s="329">
        <f t="shared" si="7"/>
        <v>1137.4033333333332</v>
      </c>
      <c r="AG23" s="329">
        <f t="shared" si="8"/>
        <v>1137.4000000000001</v>
      </c>
      <c r="AH23" s="336">
        <v>1034</v>
      </c>
      <c r="AI23" s="300" t="s">
        <v>305</v>
      </c>
      <c r="AM23" t="s">
        <v>306</v>
      </c>
      <c r="AS23" t="s">
        <v>307</v>
      </c>
    </row>
    <row r="24" spans="15:45" x14ac:dyDescent="0.3">
      <c r="Q24" s="10"/>
      <c r="R24" s="7"/>
      <c r="S24" s="346" t="s">
        <v>24</v>
      </c>
      <c r="T24" s="330">
        <f>(AG24/12)-75</f>
        <v>595.90833333333342</v>
      </c>
      <c r="U24" s="330">
        <f>(670.91)+110</f>
        <v>780.91</v>
      </c>
      <c r="V24" s="330">
        <f>(670.91)-12</f>
        <v>658.91</v>
      </c>
      <c r="W24" s="330">
        <f>(670.91)+45</f>
        <v>715.91</v>
      </c>
      <c r="X24" s="330">
        <f>(670.91)+67</f>
        <v>737.91</v>
      </c>
      <c r="Y24" s="330">
        <f>(670.91)-76</f>
        <v>594.91</v>
      </c>
      <c r="Z24" s="330">
        <f>(670.91)+132</f>
        <v>802.91</v>
      </c>
      <c r="AA24" s="330">
        <f>(670.91)-234</f>
        <v>436.90999999999997</v>
      </c>
      <c r="AB24" s="330">
        <f>(670.91)+321</f>
        <v>991.91</v>
      </c>
      <c r="AC24" s="330">
        <f>(670.91)-419</f>
        <v>251.90999999999997</v>
      </c>
      <c r="AD24" s="330">
        <f>(670.91)+54</f>
        <v>724.91</v>
      </c>
      <c r="AE24" s="330">
        <f>(670.91)+87-0.02</f>
        <v>757.89</v>
      </c>
      <c r="AF24" s="329">
        <f t="shared" si="7"/>
        <v>8050.8983333333326</v>
      </c>
      <c r="AG24" s="329">
        <f t="shared" si="8"/>
        <v>8050.9000000000005</v>
      </c>
      <c r="AH24" s="336">
        <v>7319</v>
      </c>
      <c r="AI24" s="300"/>
    </row>
    <row r="25" spans="15:45" x14ac:dyDescent="0.3">
      <c r="Q25" s="10"/>
      <c r="R25" s="7"/>
      <c r="S25" s="346" t="s">
        <v>25</v>
      </c>
      <c r="T25" s="330">
        <f>(AG25/12)+58</f>
        <v>259.39166666666665</v>
      </c>
      <c r="U25" s="330">
        <f>(201.39)+23</f>
        <v>224.39</v>
      </c>
      <c r="V25" s="330">
        <f>(201.39)-59</f>
        <v>142.38999999999999</v>
      </c>
      <c r="W25" s="330">
        <f>(201.39)-101</f>
        <v>100.38999999999999</v>
      </c>
      <c r="X25" s="330">
        <f>(201.39)+45</f>
        <v>246.39</v>
      </c>
      <c r="Y25" s="330">
        <f>(201.39)+67</f>
        <v>268.39</v>
      </c>
      <c r="Z25" s="330">
        <f>(201.39)+23</f>
        <v>224.39</v>
      </c>
      <c r="AA25" s="330">
        <f>(201.39)-16</f>
        <v>185.39</v>
      </c>
      <c r="AB25" s="330">
        <f>(201.39)-8</f>
        <v>193.39</v>
      </c>
      <c r="AC25" s="330">
        <f>(201.39)+53</f>
        <v>254.39</v>
      </c>
      <c r="AD25" s="330">
        <f>(201.39)-79</f>
        <v>122.38999999999999</v>
      </c>
      <c r="AE25" s="330">
        <f>(201.39)-6+0.02</f>
        <v>195.41</v>
      </c>
      <c r="AF25" s="329">
        <f t="shared" si="7"/>
        <v>2416.7016666666659</v>
      </c>
      <c r="AG25" s="329">
        <f t="shared" si="8"/>
        <v>2416.7000000000003</v>
      </c>
      <c r="AH25" s="336">
        <v>2197</v>
      </c>
      <c r="AI25" s="300"/>
    </row>
    <row r="26" spans="15:45" x14ac:dyDescent="0.3">
      <c r="Q26" s="10"/>
      <c r="R26" s="7"/>
      <c r="S26" s="346" t="s">
        <v>159</v>
      </c>
      <c r="T26" s="330">
        <f>(AG26/12)-534</f>
        <v>709.45833333333348</v>
      </c>
      <c r="U26" s="330">
        <f>(1243.46)-424</f>
        <v>819.46</v>
      </c>
      <c r="V26" s="330">
        <f>(1243.46)+87</f>
        <v>1330.46</v>
      </c>
      <c r="W26" s="330">
        <f>(1243.46)+123</f>
        <v>1366.46</v>
      </c>
      <c r="X26" s="330">
        <f>(1243.46)+242</f>
        <v>1485.46</v>
      </c>
      <c r="Y26" s="330">
        <f>(1243.46)+445</f>
        <v>1688.46</v>
      </c>
      <c r="Z26" s="330">
        <f>(1243.46)+234</f>
        <v>1477.46</v>
      </c>
      <c r="AA26" s="330">
        <f>(1243.46)+123</f>
        <v>1366.46</v>
      </c>
      <c r="AB26" s="330">
        <f>(1243.46)-76</f>
        <v>1167.46</v>
      </c>
      <c r="AC26" s="330">
        <f>(1243.46)-234</f>
        <v>1009.46</v>
      </c>
      <c r="AD26" s="330">
        <f>(1243.46)-73</f>
        <v>1170.46</v>
      </c>
      <c r="AE26" s="330">
        <f>(1243.46)+87</f>
        <v>1330.46</v>
      </c>
      <c r="AF26" s="329">
        <f t="shared" si="7"/>
        <v>14921.51833333333</v>
      </c>
      <c r="AG26" s="329">
        <f t="shared" si="8"/>
        <v>14921.500000000002</v>
      </c>
      <c r="AH26" s="336">
        <v>13565</v>
      </c>
      <c r="AI26" s="300" t="s">
        <v>308</v>
      </c>
    </row>
    <row r="27" spans="15:45" x14ac:dyDescent="0.3">
      <c r="Q27" s="10"/>
      <c r="R27" s="7"/>
      <c r="S27" s="346" t="s">
        <v>160</v>
      </c>
      <c r="T27" s="330">
        <f>(AG27/12)-1234</f>
        <v>2784.9416666666671</v>
      </c>
      <c r="U27" s="330">
        <f>(4018.94)-1002</f>
        <v>3016.94</v>
      </c>
      <c r="V27" s="330">
        <f>(4018.94)-144</f>
        <v>3874.94</v>
      </c>
      <c r="W27" s="330">
        <f>(4018.94)+234</f>
        <v>4252.9400000000005</v>
      </c>
      <c r="X27" s="330">
        <f>(4018.94)+546-126.98</f>
        <v>4437.9600000000009</v>
      </c>
      <c r="Y27" s="330">
        <f>(4018.94)+1044</f>
        <v>5062.9400000000005</v>
      </c>
      <c r="Z27" s="330">
        <f>(4018.94)+576</f>
        <v>4594.9400000000005</v>
      </c>
      <c r="AA27" s="330">
        <f>(4018.94)+375</f>
        <v>4393.9400000000005</v>
      </c>
      <c r="AB27" s="330">
        <f>(4018.94)+32</f>
        <v>4050.94</v>
      </c>
      <c r="AC27" s="330">
        <f>(4018.94)-45</f>
        <v>3973.94</v>
      </c>
      <c r="AD27" s="330">
        <f>(4018.94)-125</f>
        <v>3893.94</v>
      </c>
      <c r="AE27" s="330">
        <f>(4018.94)-130</f>
        <v>3888.94</v>
      </c>
      <c r="AF27" s="329">
        <f t="shared" si="7"/>
        <v>48227.301666666681</v>
      </c>
      <c r="AG27" s="329">
        <f t="shared" si="8"/>
        <v>48227.3</v>
      </c>
      <c r="AH27" s="336">
        <v>43843</v>
      </c>
      <c r="AI27" s="300"/>
    </row>
    <row r="28" spans="15:45" x14ac:dyDescent="0.3">
      <c r="Q28" s="10"/>
      <c r="R28" s="7"/>
      <c r="S28" s="346" t="s">
        <v>167</v>
      </c>
      <c r="T28" s="330">
        <f>(AG28/12)-96</f>
        <v>294.68333333333339</v>
      </c>
      <c r="U28" s="330">
        <f>(390.68)+76</f>
        <v>466.68</v>
      </c>
      <c r="V28" s="330">
        <f>(390.68)+45</f>
        <v>435.68</v>
      </c>
      <c r="W28" s="330">
        <f>(390.68)+34</f>
        <v>424.68</v>
      </c>
      <c r="X28" s="330">
        <f>(390.68)-23</f>
        <v>367.68</v>
      </c>
      <c r="Y28" s="330">
        <f>(390.68)+123</f>
        <v>513.68000000000006</v>
      </c>
      <c r="Z28" s="330">
        <f>(390.68)-27</f>
        <v>363.68</v>
      </c>
      <c r="AA28" s="330">
        <f>(390.68)+13</f>
        <v>403.68</v>
      </c>
      <c r="AB28" s="330">
        <f>(390.68)-49</f>
        <v>341.68</v>
      </c>
      <c r="AC28" s="330">
        <f>(390.68)+20</f>
        <v>410.68</v>
      </c>
      <c r="AD28" s="330">
        <f>(390.68)+34</f>
        <v>424.68</v>
      </c>
      <c r="AE28" s="330">
        <f>(390.68)-150+0.04</f>
        <v>240.72</v>
      </c>
      <c r="AF28" s="329">
        <f t="shared" si="7"/>
        <v>4688.2033333333338</v>
      </c>
      <c r="AG28" s="329">
        <f t="shared" si="8"/>
        <v>4688.2000000000007</v>
      </c>
      <c r="AH28" s="336">
        <v>4262</v>
      </c>
      <c r="AI28" s="300"/>
    </row>
    <row r="29" spans="15:45" x14ac:dyDescent="0.3">
      <c r="Q29" s="10"/>
      <c r="R29" s="7"/>
      <c r="S29" s="350" t="s">
        <v>183</v>
      </c>
      <c r="T29" s="330">
        <f t="shared" ref="T29" si="11">AG29/12</f>
        <v>6513.833333333333</v>
      </c>
      <c r="U29" s="330">
        <f t="shared" ref="U29:AE29" si="12">T29</f>
        <v>6513.833333333333</v>
      </c>
      <c r="V29" s="330">
        <f t="shared" si="12"/>
        <v>6513.833333333333</v>
      </c>
      <c r="W29" s="330">
        <f t="shared" si="12"/>
        <v>6513.833333333333</v>
      </c>
      <c r="X29" s="330">
        <f t="shared" si="12"/>
        <v>6513.833333333333</v>
      </c>
      <c r="Y29" s="330">
        <f t="shared" si="12"/>
        <v>6513.833333333333</v>
      </c>
      <c r="Z29" s="330">
        <f t="shared" si="12"/>
        <v>6513.833333333333</v>
      </c>
      <c r="AA29" s="330">
        <f t="shared" si="12"/>
        <v>6513.833333333333</v>
      </c>
      <c r="AB29" s="330">
        <f t="shared" si="12"/>
        <v>6513.833333333333</v>
      </c>
      <c r="AC29" s="330">
        <f t="shared" si="12"/>
        <v>6513.833333333333</v>
      </c>
      <c r="AD29" s="330">
        <f t="shared" si="12"/>
        <v>6513.833333333333</v>
      </c>
      <c r="AE29" s="330">
        <f t="shared" si="12"/>
        <v>6513.833333333333</v>
      </c>
      <c r="AF29" s="329">
        <f t="shared" si="7"/>
        <v>78166</v>
      </c>
      <c r="AG29" s="332">
        <f t="shared" si="8"/>
        <v>78166</v>
      </c>
      <c r="AH29" s="336">
        <v>71060</v>
      </c>
      <c r="AI29" s="300" t="s">
        <v>309</v>
      </c>
    </row>
    <row r="30" spans="15:45" x14ac:dyDescent="0.3">
      <c r="P30" s="236"/>
      <c r="Q30" s="10"/>
      <c r="R30" s="7"/>
      <c r="S30" s="346" t="s">
        <v>253</v>
      </c>
      <c r="T30" s="330">
        <f>(AG30/12)+34</f>
        <v>351.16666666666669</v>
      </c>
      <c r="U30" s="330">
        <f>(288.33)-45</f>
        <v>243.32999999999998</v>
      </c>
      <c r="V30" s="330">
        <f>(288.33)+18</f>
        <v>306.33</v>
      </c>
      <c r="W30" s="330">
        <f>(288.33)-8.8</f>
        <v>279.52999999999997</v>
      </c>
      <c r="X30" s="330">
        <f>(288.33)+54-4</f>
        <v>338.33</v>
      </c>
      <c r="Y30" s="330">
        <f>(288.33)-98-28</f>
        <v>162.32999999999998</v>
      </c>
      <c r="Z30" s="330">
        <f>(288.33)+87</f>
        <v>375.33</v>
      </c>
      <c r="AA30" s="330">
        <f>(288.33)+182</f>
        <v>470.33</v>
      </c>
      <c r="AB30" s="330">
        <f>(288.33)-29</f>
        <v>259.33</v>
      </c>
      <c r="AC30" s="330">
        <f>(288.33)+170</f>
        <v>458.33</v>
      </c>
      <c r="AD30" s="330">
        <f>(288.33)-78</f>
        <v>210.32999999999998</v>
      </c>
      <c r="AE30" s="330">
        <f>(288.33)+63</f>
        <v>351.33</v>
      </c>
      <c r="AF30" s="329">
        <f t="shared" si="7"/>
        <v>3805.996666666666</v>
      </c>
      <c r="AG30" s="332">
        <f t="shared" si="8"/>
        <v>3806.0000000000005</v>
      </c>
      <c r="AH30" s="336">
        <v>3460</v>
      </c>
      <c r="AI30" s="300"/>
    </row>
    <row r="31" spans="15:45" x14ac:dyDescent="0.3">
      <c r="Q31" s="10"/>
      <c r="R31" s="7"/>
      <c r="S31" s="346" t="s">
        <v>157</v>
      </c>
      <c r="T31" s="330">
        <f>(AG31/12)-87</f>
        <v>515.89166666666677</v>
      </c>
      <c r="U31" s="330">
        <f>(548.08)-76</f>
        <v>472.08000000000004</v>
      </c>
      <c r="V31" s="330">
        <f>(548.08)+165</f>
        <v>713.08</v>
      </c>
      <c r="W31" s="330">
        <f>(548.08)+43</f>
        <v>591.08000000000004</v>
      </c>
      <c r="X31" s="330">
        <f>(548.08)+223</f>
        <v>771.08</v>
      </c>
      <c r="Y31" s="330">
        <f>(548.08)-64</f>
        <v>484.08000000000004</v>
      </c>
      <c r="Z31" s="330">
        <f>(548.08)-17</f>
        <v>531.08000000000004</v>
      </c>
      <c r="AA31" s="330">
        <f>(548.08)-31</f>
        <v>517.08000000000004</v>
      </c>
      <c r="AB31" s="330">
        <f>(548.08)+308</f>
        <v>856.08</v>
      </c>
      <c r="AC31" s="330">
        <f>(548.08)+28+66</f>
        <v>642.08000000000004</v>
      </c>
      <c r="AD31" s="330">
        <f>(548.08)+143</f>
        <v>691.08</v>
      </c>
      <c r="AE31" s="330">
        <f>(548.08)-97.77+0.7-1</f>
        <v>450.01000000000005</v>
      </c>
      <c r="AF31" s="329">
        <f t="shared" si="7"/>
        <v>7234.7016666666668</v>
      </c>
      <c r="AG31" s="332">
        <f t="shared" si="8"/>
        <v>7234.7000000000007</v>
      </c>
      <c r="AH31" s="336">
        <v>6577</v>
      </c>
      <c r="AI31" t="s">
        <v>298</v>
      </c>
    </row>
    <row r="32" spans="15:45" x14ac:dyDescent="0.3">
      <c r="Q32" s="10"/>
      <c r="R32" s="7"/>
      <c r="S32" s="346" t="s">
        <v>55</v>
      </c>
      <c r="T32" s="330">
        <f>(AG32/12)+248</f>
        <v>584.6</v>
      </c>
      <c r="U32" s="330">
        <f>(306)-41</f>
        <v>265</v>
      </c>
      <c r="V32" s="330">
        <f>(306)+190</f>
        <v>496</v>
      </c>
      <c r="W32" s="330">
        <f>(306)-76</f>
        <v>230</v>
      </c>
      <c r="X32" s="330">
        <f>(306)+20</f>
        <v>326</v>
      </c>
      <c r="Y32" s="330">
        <f>(306)+28</f>
        <v>334</v>
      </c>
      <c r="Z32" s="330">
        <f>(306)+84</f>
        <v>390</v>
      </c>
      <c r="AA32" s="330">
        <f>(306)+17</f>
        <v>323</v>
      </c>
      <c r="AB32" s="330">
        <f>(306)-48.6</f>
        <v>257.39999999999998</v>
      </c>
      <c r="AC32" s="330">
        <f>(306)+27</f>
        <v>333</v>
      </c>
      <c r="AD32" s="330">
        <f>(306)-92</f>
        <v>214</v>
      </c>
      <c r="AE32" s="330">
        <f>(306)-20+0.2</f>
        <v>286.2</v>
      </c>
      <c r="AF32" s="329">
        <f t="shared" si="7"/>
        <v>4039.2</v>
      </c>
      <c r="AG32" s="332">
        <f t="shared" si="8"/>
        <v>4039.2000000000003</v>
      </c>
      <c r="AH32" s="336">
        <v>3672</v>
      </c>
      <c r="AI32" t="s">
        <v>297</v>
      </c>
    </row>
    <row r="33" spans="5:36" x14ac:dyDescent="0.3">
      <c r="Q33" s="10"/>
      <c r="R33" s="7"/>
      <c r="S33" s="351" t="s">
        <v>177</v>
      </c>
      <c r="T33" s="330">
        <f>(AG33/12)-79</f>
        <v>80.041666666666686</v>
      </c>
      <c r="U33" s="330">
        <f>(159.04)-26-50</f>
        <v>83.039999999999992</v>
      </c>
      <c r="V33" s="330">
        <f>(159.04)+14</f>
        <v>173.04</v>
      </c>
      <c r="W33" s="330">
        <f>(159.04)+27</f>
        <v>186.04</v>
      </c>
      <c r="X33" s="330">
        <f>(159.04)+34</f>
        <v>193.04</v>
      </c>
      <c r="Y33" s="330">
        <f>(159.04)+98</f>
        <v>257.03999999999996</v>
      </c>
      <c r="Z33" s="330">
        <f>(159.04)+65</f>
        <v>224.04</v>
      </c>
      <c r="AA33" s="330">
        <f>(159.04)+16+5</f>
        <v>180.04</v>
      </c>
      <c r="AB33" s="330">
        <f>(159.04)+9</f>
        <v>168.04</v>
      </c>
      <c r="AC33" s="330">
        <f>(159.04)-12.48</f>
        <v>146.56</v>
      </c>
      <c r="AD33" s="330">
        <f>(159.04)-44</f>
        <v>115.03999999999999</v>
      </c>
      <c r="AE33" s="330">
        <f>(159.04)-56+0.5-1</f>
        <v>102.53999999999999</v>
      </c>
      <c r="AF33" s="329">
        <f t="shared" si="7"/>
        <v>1908.5016666666663</v>
      </c>
      <c r="AG33" s="332">
        <f t="shared" si="8"/>
        <v>1908.5000000000002</v>
      </c>
      <c r="AH33" s="336">
        <v>1735</v>
      </c>
      <c r="AI33" s="300" t="s">
        <v>303</v>
      </c>
    </row>
    <row r="34" spans="5:36" x14ac:dyDescent="0.3">
      <c r="R34" s="7"/>
      <c r="S34" s="352" t="s">
        <v>132</v>
      </c>
      <c r="T34" s="250">
        <v>5000</v>
      </c>
      <c r="U34" s="330"/>
      <c r="V34" s="330"/>
      <c r="W34" s="330">
        <f>(SUM(T11:V11)/11)-(SUM(T13:V33)/11)</f>
        <v>23411.017414886453</v>
      </c>
      <c r="X34" s="330"/>
      <c r="Y34" s="330"/>
      <c r="Z34" s="330">
        <f>SUM(W11:Y11)/11-SUM(W13:Y33)/11</f>
        <v>18866.82101095179</v>
      </c>
      <c r="AA34" s="330"/>
      <c r="AB34" s="330"/>
      <c r="AC34" s="330">
        <f>SUM(Z11:AB11)/11-SUM(Z13:AB33)/11</f>
        <v>21721.923749096324</v>
      </c>
      <c r="AD34" s="330"/>
      <c r="AE34" s="330"/>
      <c r="AF34" s="329">
        <f t="shared" si="7"/>
        <v>68999.762174934571</v>
      </c>
      <c r="AG34" s="333">
        <f>AF34</f>
        <v>68999.762174934571</v>
      </c>
      <c r="AH34" s="336"/>
      <c r="AI34" s="300"/>
    </row>
    <row r="35" spans="5:36" x14ac:dyDescent="0.3">
      <c r="E35" s="298"/>
      <c r="R35" s="7"/>
      <c r="S35" s="350" t="s">
        <v>99</v>
      </c>
      <c r="T35" s="330">
        <v>8076.9230769230771</v>
      </c>
      <c r="U35" s="330">
        <v>5384.6153846153848</v>
      </c>
      <c r="V35" s="330">
        <v>5384.6153846153848</v>
      </c>
      <c r="W35" s="330">
        <v>5384.62</v>
      </c>
      <c r="X35" s="330">
        <v>5384.62</v>
      </c>
      <c r="Y35" s="330">
        <v>5384.62</v>
      </c>
      <c r="Z35" s="250">
        <v>8076.92</v>
      </c>
      <c r="AA35" s="330">
        <v>5384.62</v>
      </c>
      <c r="AB35" s="330">
        <v>5384.62</v>
      </c>
      <c r="AC35" s="330">
        <v>5384.62</v>
      </c>
      <c r="AD35" s="330">
        <v>5384.62</v>
      </c>
      <c r="AE35" s="330">
        <v>5384.59</v>
      </c>
      <c r="AF35" s="329">
        <f t="shared" si="7"/>
        <v>70000.00384615385</v>
      </c>
      <c r="AG35" s="332">
        <f>AH35</f>
        <v>70000</v>
      </c>
      <c r="AH35" s="336">
        <v>70000</v>
      </c>
      <c r="AI35" s="300"/>
    </row>
    <row r="36" spans="5:36" x14ac:dyDescent="0.3">
      <c r="P36" s="277"/>
      <c r="R36" s="7"/>
      <c r="S36" s="350" t="s">
        <v>98</v>
      </c>
      <c r="T36" s="330">
        <v>8076.9230769230771</v>
      </c>
      <c r="U36" s="330">
        <v>5384.6153846153848</v>
      </c>
      <c r="V36" s="330">
        <v>5384.6153846153848</v>
      </c>
      <c r="W36" s="330">
        <v>5384.62</v>
      </c>
      <c r="X36" s="330">
        <v>5384.62</v>
      </c>
      <c r="Y36" s="330">
        <v>5384.62</v>
      </c>
      <c r="Z36" s="330">
        <v>8076.92</v>
      </c>
      <c r="AA36" s="330">
        <v>5384.62</v>
      </c>
      <c r="AB36" s="330">
        <v>5384.62</v>
      </c>
      <c r="AC36" s="330">
        <v>5384.62</v>
      </c>
      <c r="AD36" s="330">
        <v>5384.62</v>
      </c>
      <c r="AE36" s="330">
        <v>5384.59</v>
      </c>
      <c r="AF36" s="329">
        <f t="shared" si="7"/>
        <v>70000.00384615385</v>
      </c>
      <c r="AG36" s="332">
        <f t="shared" ref="AG36:AG55" si="13">AH36</f>
        <v>70000</v>
      </c>
      <c r="AH36" s="336">
        <v>70000</v>
      </c>
      <c r="AI36" s="300"/>
    </row>
    <row r="37" spans="5:36" x14ac:dyDescent="0.3">
      <c r="P37" s="35"/>
      <c r="R37" s="7"/>
      <c r="S37" s="347" t="s">
        <v>57</v>
      </c>
      <c r="T37" s="330">
        <v>10961.65</v>
      </c>
      <c r="U37" s="330">
        <v>7307.77</v>
      </c>
      <c r="V37" s="330">
        <v>7307.77</v>
      </c>
      <c r="W37" s="330">
        <v>7307.77</v>
      </c>
      <c r="X37" s="330">
        <v>7307.77</v>
      </c>
      <c r="Y37" s="330">
        <v>7307.77</v>
      </c>
      <c r="Z37" s="330">
        <v>10961.65</v>
      </c>
      <c r="AA37" s="330">
        <v>7307.77</v>
      </c>
      <c r="AB37" s="330">
        <v>7307.77</v>
      </c>
      <c r="AC37" s="330">
        <v>7307.77</v>
      </c>
      <c r="AD37" s="330">
        <v>7307.77</v>
      </c>
      <c r="AE37" s="330">
        <v>7307.77</v>
      </c>
      <c r="AF37" s="329">
        <f t="shared" si="7"/>
        <v>95001.000000000015</v>
      </c>
      <c r="AG37" s="332">
        <f t="shared" si="13"/>
        <v>95001</v>
      </c>
      <c r="AH37" s="336">
        <v>95001</v>
      </c>
      <c r="AI37" s="300"/>
    </row>
    <row r="38" spans="5:36" x14ac:dyDescent="0.3">
      <c r="R38" s="7"/>
      <c r="S38" s="347" t="s">
        <v>58</v>
      </c>
      <c r="T38" s="330">
        <v>10576.85</v>
      </c>
      <c r="U38" s="298">
        <v>7051.23</v>
      </c>
      <c r="V38" s="298">
        <v>7051.23</v>
      </c>
      <c r="W38" s="298">
        <v>7051.23</v>
      </c>
      <c r="X38" s="298">
        <v>7051.23</v>
      </c>
      <c r="Y38" s="298">
        <v>7051.23</v>
      </c>
      <c r="Z38" s="298">
        <v>10576.85</v>
      </c>
      <c r="AA38" s="298">
        <v>7051.23</v>
      </c>
      <c r="AB38" s="298">
        <v>7051.23</v>
      </c>
      <c r="AC38" s="298">
        <v>7051.23</v>
      </c>
      <c r="AD38" s="298">
        <v>7051.23</v>
      </c>
      <c r="AE38" s="298">
        <v>7051.23</v>
      </c>
      <c r="AF38" s="329">
        <f t="shared" si="7"/>
        <v>91665.999999999985</v>
      </c>
      <c r="AG38" s="332">
        <f t="shared" si="13"/>
        <v>91666</v>
      </c>
      <c r="AH38" s="336">
        <v>91666</v>
      </c>
      <c r="AI38" s="300"/>
    </row>
    <row r="39" spans="5:36" x14ac:dyDescent="0.3">
      <c r="R39" s="7"/>
      <c r="S39" s="347" t="s">
        <v>59</v>
      </c>
      <c r="T39" s="250">
        <v>7307.65</v>
      </c>
      <c r="U39" s="250">
        <v>4871.7700000000004</v>
      </c>
      <c r="V39" s="250">
        <v>4871.7700000000004</v>
      </c>
      <c r="W39" s="250">
        <v>4871.7700000000004</v>
      </c>
      <c r="X39" s="250">
        <v>22410.140000000003</v>
      </c>
      <c r="Y39" s="250"/>
      <c r="Z39" s="250"/>
      <c r="AA39" s="250"/>
      <c r="AB39" s="250"/>
      <c r="AC39" s="250"/>
      <c r="AD39" s="250"/>
      <c r="AE39" s="250"/>
      <c r="AF39" s="348">
        <f>SUM(T39:AE39)</f>
        <v>44333.100000000006</v>
      </c>
      <c r="AG39" s="333">
        <f>AF39</f>
        <v>44333.100000000006</v>
      </c>
      <c r="AH39" s="336">
        <f>AG39</f>
        <v>44333.100000000006</v>
      </c>
      <c r="AI39" s="300" t="s">
        <v>325</v>
      </c>
    </row>
    <row r="40" spans="5:36" x14ac:dyDescent="0.3">
      <c r="R40" s="7"/>
      <c r="S40" s="347" t="s">
        <v>60</v>
      </c>
      <c r="T40" s="250">
        <v>2205.81</v>
      </c>
      <c r="U40" s="250">
        <v>1470.54</v>
      </c>
      <c r="V40" s="250">
        <v>1470.54</v>
      </c>
      <c r="W40" s="250">
        <v>1470.54</v>
      </c>
      <c r="X40" s="250">
        <v>1470.54</v>
      </c>
      <c r="Y40" s="250">
        <f>1470.54*2</f>
        <v>2941.08</v>
      </c>
      <c r="Z40" s="250">
        <f>2205.81*2</f>
        <v>4411.62</v>
      </c>
      <c r="AA40" s="250">
        <f>1470.54*2</f>
        <v>2941.08</v>
      </c>
      <c r="AB40" s="250">
        <f>1470.54*2</f>
        <v>2941.08</v>
      </c>
      <c r="AC40" s="250">
        <f t="shared" ref="AC40:AE40" si="14">1470.54*2</f>
        <v>2941.08</v>
      </c>
      <c r="AD40" s="250">
        <f t="shared" si="14"/>
        <v>2941.08</v>
      </c>
      <c r="AE40" s="250">
        <f t="shared" si="14"/>
        <v>2941.08</v>
      </c>
      <c r="AF40" s="348">
        <f t="shared" si="7"/>
        <v>30146.070000000007</v>
      </c>
      <c r="AG40" s="333">
        <v>30146</v>
      </c>
      <c r="AH40" s="337">
        <f>AG40</f>
        <v>30146</v>
      </c>
      <c r="AI40" s="300" t="s">
        <v>315</v>
      </c>
      <c r="AJ40" s="35"/>
    </row>
    <row r="41" spans="5:36" x14ac:dyDescent="0.3">
      <c r="R41" s="7"/>
      <c r="S41" s="347" t="s">
        <v>184</v>
      </c>
      <c r="T41" s="330">
        <f>SUM(T35:T40)*0.09</f>
        <v>4248.5225538461536</v>
      </c>
      <c r="U41" s="330">
        <f t="shared" ref="U41:AE41" si="15">SUM(U35:U40)*0.09</f>
        <v>2832.3486692307692</v>
      </c>
      <c r="V41" s="330">
        <f t="shared" si="15"/>
        <v>2832.3486692307692</v>
      </c>
      <c r="W41" s="330">
        <f t="shared" si="15"/>
        <v>2832.3495000000003</v>
      </c>
      <c r="X41" s="330">
        <f t="shared" si="15"/>
        <v>4410.8028000000004</v>
      </c>
      <c r="Y41" s="330">
        <f t="shared" si="15"/>
        <v>2526.2388000000001</v>
      </c>
      <c r="Z41" s="330">
        <f t="shared" si="15"/>
        <v>3789.3563999999997</v>
      </c>
      <c r="AA41" s="330">
        <f t="shared" si="15"/>
        <v>2526.2388000000001</v>
      </c>
      <c r="AB41" s="330">
        <f t="shared" si="15"/>
        <v>2526.2388000000001</v>
      </c>
      <c r="AC41" s="330">
        <f t="shared" si="15"/>
        <v>2526.2388000000001</v>
      </c>
      <c r="AD41" s="330">
        <f t="shared" si="15"/>
        <v>2526.2388000000001</v>
      </c>
      <c r="AE41" s="330">
        <f t="shared" si="15"/>
        <v>2526.2334000000001</v>
      </c>
      <c r="AF41" s="329">
        <f t="shared" si="7"/>
        <v>36103.155992307686</v>
      </c>
      <c r="AG41" s="332">
        <f>AF41</f>
        <v>36103.155992307686</v>
      </c>
      <c r="AH41" s="338">
        <f>SUM(AH35:AH40)*0.09</f>
        <v>36103.148999999998</v>
      </c>
      <c r="AI41" s="300"/>
      <c r="AJ41" s="35"/>
    </row>
    <row r="42" spans="5:36" x14ac:dyDescent="0.3">
      <c r="Q42" s="10"/>
      <c r="R42" s="7"/>
      <c r="S42" s="346" t="s">
        <v>23</v>
      </c>
      <c r="T42" s="330">
        <f>SUM(T35:T41)*0.0175</f>
        <v>900.4507523846155</v>
      </c>
      <c r="U42" s="330">
        <f t="shared" ref="U42:AE42" si="16">SUM(U35:U41)*0.0175</f>
        <v>600.30056517307708</v>
      </c>
      <c r="V42" s="330">
        <f t="shared" si="16"/>
        <v>600.30056517307708</v>
      </c>
      <c r="W42" s="330">
        <f t="shared" si="16"/>
        <v>600.3007412500001</v>
      </c>
      <c r="X42" s="330">
        <f t="shared" si="16"/>
        <v>934.84514900000011</v>
      </c>
      <c r="Y42" s="330">
        <f t="shared" si="16"/>
        <v>535.422279</v>
      </c>
      <c r="Z42" s="330">
        <f t="shared" si="16"/>
        <v>803.13303700000006</v>
      </c>
      <c r="AA42" s="330">
        <f t="shared" si="16"/>
        <v>535.422279</v>
      </c>
      <c r="AB42" s="330">
        <f t="shared" si="16"/>
        <v>535.422279</v>
      </c>
      <c r="AC42" s="330">
        <f t="shared" si="16"/>
        <v>535.422279</v>
      </c>
      <c r="AD42" s="330">
        <f t="shared" si="16"/>
        <v>535.422279</v>
      </c>
      <c r="AE42" s="330">
        <f t="shared" si="16"/>
        <v>535.42113450000011</v>
      </c>
      <c r="AF42" s="329">
        <f>SUM(T42:AE42)</f>
        <v>7651.8633394807712</v>
      </c>
      <c r="AG42" s="332">
        <f>AF42</f>
        <v>7651.8633394807712</v>
      </c>
      <c r="AH42" s="336">
        <f>SUM(AH35:AH41)*0.0175</f>
        <v>7651.8618575</v>
      </c>
      <c r="AI42" s="300" t="s">
        <v>302</v>
      </c>
    </row>
    <row r="43" spans="5:36" x14ac:dyDescent="0.3">
      <c r="Q43" s="10"/>
      <c r="R43" s="7"/>
      <c r="S43" s="347" t="s">
        <v>149</v>
      </c>
      <c r="T43" s="330">
        <f>(AG43/12)-189</f>
        <v>144.33333333333331</v>
      </c>
      <c r="U43" s="330">
        <f>(333.33)-99</f>
        <v>234.32999999999998</v>
      </c>
      <c r="V43" s="330">
        <f>(333.33)+13</f>
        <v>346.33</v>
      </c>
      <c r="W43" s="330">
        <f>(333.33)+56</f>
        <v>389.33</v>
      </c>
      <c r="X43" s="330">
        <f>(333.33)+88</f>
        <v>421.33</v>
      </c>
      <c r="Y43" s="330">
        <f>(333.33)+108</f>
        <v>441.33</v>
      </c>
      <c r="Z43" s="330">
        <f>(333.33)+45</f>
        <v>378.33</v>
      </c>
      <c r="AA43" s="330">
        <f>(333.33)+13</f>
        <v>346.33</v>
      </c>
      <c r="AB43" s="330">
        <f>(333.33)-9</f>
        <v>324.33</v>
      </c>
      <c r="AC43" s="330">
        <f>(333.33)-13</f>
        <v>320.33</v>
      </c>
      <c r="AD43" s="330">
        <f>(333.33)-12</f>
        <v>321.33</v>
      </c>
      <c r="AE43" s="330">
        <f>(333.33)-0.96</f>
        <v>332.37</v>
      </c>
      <c r="AF43" s="329">
        <f t="shared" si="7"/>
        <v>4000.0033333333326</v>
      </c>
      <c r="AG43" s="332">
        <f t="shared" si="13"/>
        <v>4000</v>
      </c>
      <c r="AH43" s="336">
        <v>4000</v>
      </c>
      <c r="AI43" s="300" t="s">
        <v>299</v>
      </c>
    </row>
    <row r="44" spans="5:36" x14ac:dyDescent="0.3">
      <c r="R44" s="7"/>
      <c r="S44" s="347" t="s">
        <v>61</v>
      </c>
      <c r="T44" s="330">
        <v>18076.849999999999</v>
      </c>
      <c r="U44" s="330">
        <v>12051.23</v>
      </c>
      <c r="V44" s="330">
        <v>12051.23</v>
      </c>
      <c r="W44" s="330">
        <v>12051.23</v>
      </c>
      <c r="X44" s="330">
        <v>12051.23</v>
      </c>
      <c r="Y44" s="330">
        <v>12051.23</v>
      </c>
      <c r="Z44" s="330">
        <v>18076.849999999999</v>
      </c>
      <c r="AA44" s="330">
        <v>12051.23</v>
      </c>
      <c r="AB44" s="330">
        <v>12051.23</v>
      </c>
      <c r="AC44" s="330">
        <v>12051.23</v>
      </c>
      <c r="AD44" s="330">
        <v>12051.23</v>
      </c>
      <c r="AE44" s="330">
        <v>12051.23</v>
      </c>
      <c r="AF44" s="329">
        <f t="shared" si="7"/>
        <v>156666</v>
      </c>
      <c r="AG44" s="332">
        <f t="shared" si="13"/>
        <v>156666</v>
      </c>
      <c r="AH44" s="336">
        <v>156666</v>
      </c>
      <c r="AI44" s="300" t="s">
        <v>301</v>
      </c>
    </row>
    <row r="45" spans="5:36" x14ac:dyDescent="0.3">
      <c r="R45" s="7"/>
      <c r="S45" s="347" t="s">
        <v>62</v>
      </c>
      <c r="T45" s="330">
        <f>SUM(T44)*0.09</f>
        <v>1626.9164999999998</v>
      </c>
      <c r="U45" s="330">
        <f t="shared" ref="U45:AE45" si="17">SUM(U44)*0.09</f>
        <v>1084.6107</v>
      </c>
      <c r="V45" s="330">
        <f t="shared" si="17"/>
        <v>1084.6107</v>
      </c>
      <c r="W45" s="330">
        <f t="shared" si="17"/>
        <v>1084.6107</v>
      </c>
      <c r="X45" s="330">
        <f t="shared" si="17"/>
        <v>1084.6107</v>
      </c>
      <c r="Y45" s="330">
        <f t="shared" si="17"/>
        <v>1084.6107</v>
      </c>
      <c r="Z45" s="330">
        <f t="shared" si="17"/>
        <v>1626.9164999999998</v>
      </c>
      <c r="AA45" s="330">
        <f t="shared" si="17"/>
        <v>1084.6107</v>
      </c>
      <c r="AB45" s="330">
        <f t="shared" si="17"/>
        <v>1084.6107</v>
      </c>
      <c r="AC45" s="330">
        <f t="shared" si="17"/>
        <v>1084.6107</v>
      </c>
      <c r="AD45" s="330">
        <f t="shared" si="17"/>
        <v>1084.6107</v>
      </c>
      <c r="AE45" s="330">
        <f t="shared" si="17"/>
        <v>1084.6107</v>
      </c>
      <c r="AF45" s="329">
        <f t="shared" si="7"/>
        <v>14099.939999999997</v>
      </c>
      <c r="AG45" s="332">
        <f t="shared" si="13"/>
        <v>14099.939999999999</v>
      </c>
      <c r="AH45" s="336">
        <f>AH44*0.09</f>
        <v>14099.939999999999</v>
      </c>
      <c r="AI45" s="300"/>
    </row>
    <row r="46" spans="5:36" x14ac:dyDescent="0.3">
      <c r="Q46" s="10"/>
      <c r="R46" s="7"/>
      <c r="S46" s="346" t="s">
        <v>23</v>
      </c>
      <c r="T46" s="330">
        <f>SUM(T44:T45)*0.0175</f>
        <v>344.81591374999999</v>
      </c>
      <c r="U46" s="330">
        <f t="shared" ref="U46:AE46" si="18">SUM(U44:U45)*0.0175</f>
        <v>229.87721225000001</v>
      </c>
      <c r="V46" s="330">
        <f t="shared" si="18"/>
        <v>229.87721225000001</v>
      </c>
      <c r="W46" s="330">
        <f t="shared" si="18"/>
        <v>229.87721225000001</v>
      </c>
      <c r="X46" s="330">
        <f t="shared" si="18"/>
        <v>229.87721225000001</v>
      </c>
      <c r="Y46" s="330">
        <f t="shared" si="18"/>
        <v>229.87721225000001</v>
      </c>
      <c r="Z46" s="330">
        <f t="shared" si="18"/>
        <v>344.81591374999999</v>
      </c>
      <c r="AA46" s="330">
        <f t="shared" si="18"/>
        <v>229.87721225000001</v>
      </c>
      <c r="AB46" s="330">
        <f t="shared" si="18"/>
        <v>229.87721225000001</v>
      </c>
      <c r="AC46" s="330">
        <f t="shared" si="18"/>
        <v>229.87721225000001</v>
      </c>
      <c r="AD46" s="330">
        <f t="shared" si="18"/>
        <v>229.87721225000001</v>
      </c>
      <c r="AE46" s="330">
        <f t="shared" si="18"/>
        <v>229.87721225000001</v>
      </c>
      <c r="AF46" s="329">
        <f>SUM(T46:AE46)</f>
        <v>2988.4039499999999</v>
      </c>
      <c r="AG46" s="332">
        <f>AF46</f>
        <v>2988.4039499999999</v>
      </c>
      <c r="AH46" s="336">
        <f>SUM(AH44:AH45)*0.0175</f>
        <v>2988.4039500000003</v>
      </c>
      <c r="AI46" s="300" t="s">
        <v>302</v>
      </c>
    </row>
    <row r="47" spans="5:36" x14ac:dyDescent="0.3">
      <c r="R47" s="7"/>
      <c r="S47" s="346" t="s">
        <v>161</v>
      </c>
      <c r="T47" s="330">
        <f t="shared" si="9"/>
        <v>418.41666666666669</v>
      </c>
      <c r="U47" s="330">
        <f t="shared" ref="U47:AE47" si="19">T47</f>
        <v>418.41666666666669</v>
      </c>
      <c r="V47" s="330">
        <f t="shared" si="19"/>
        <v>418.41666666666669</v>
      </c>
      <c r="W47" s="330">
        <f t="shared" si="19"/>
        <v>418.41666666666669</v>
      </c>
      <c r="X47" s="330">
        <f t="shared" si="19"/>
        <v>418.41666666666669</v>
      </c>
      <c r="Y47" s="330">
        <f t="shared" si="19"/>
        <v>418.41666666666669</v>
      </c>
      <c r="Z47" s="330">
        <f t="shared" si="19"/>
        <v>418.41666666666669</v>
      </c>
      <c r="AA47" s="330">
        <f t="shared" si="19"/>
        <v>418.41666666666669</v>
      </c>
      <c r="AB47" s="330">
        <f t="shared" si="19"/>
        <v>418.41666666666669</v>
      </c>
      <c r="AC47" s="330">
        <f t="shared" si="19"/>
        <v>418.41666666666669</v>
      </c>
      <c r="AD47" s="330">
        <f t="shared" si="19"/>
        <v>418.41666666666669</v>
      </c>
      <c r="AE47" s="330">
        <f t="shared" si="19"/>
        <v>418.41666666666669</v>
      </c>
      <c r="AF47" s="329">
        <f t="shared" si="7"/>
        <v>5021</v>
      </c>
      <c r="AG47" s="332">
        <f t="shared" si="13"/>
        <v>5021</v>
      </c>
      <c r="AH47" s="336">
        <v>5021</v>
      </c>
      <c r="AI47" s="300" t="s">
        <v>300</v>
      </c>
    </row>
    <row r="48" spans="5:36" x14ac:dyDescent="0.3">
      <c r="Q48" s="10"/>
      <c r="R48" s="7"/>
      <c r="S48" s="346" t="s">
        <v>152</v>
      </c>
      <c r="T48" s="330">
        <f>(AG48/12)-22</f>
        <v>453.83333333333331</v>
      </c>
      <c r="U48" s="330">
        <f>(475.83)+75</f>
        <v>550.82999999999993</v>
      </c>
      <c r="V48" s="330">
        <f>(475.83)+53</f>
        <v>528.82999999999993</v>
      </c>
      <c r="W48" s="330">
        <f>(475.83)-98</f>
        <v>377.83</v>
      </c>
      <c r="X48" s="330">
        <f>(475.83)+21</f>
        <v>496.83</v>
      </c>
      <c r="Y48" s="330">
        <v>475.83</v>
      </c>
      <c r="Z48" s="330">
        <f>(475.83)-19</f>
        <v>456.83</v>
      </c>
      <c r="AA48" s="330">
        <f>(475.83)+99</f>
        <v>574.82999999999993</v>
      </c>
      <c r="AB48" s="330">
        <f>(475.83)-83</f>
        <v>392.83</v>
      </c>
      <c r="AC48" s="330">
        <f>(475.83)-8</f>
        <v>467.83</v>
      </c>
      <c r="AD48" s="330">
        <f>(475.83)+51</f>
        <v>526.82999999999993</v>
      </c>
      <c r="AE48" s="330">
        <f>(475.83)-68.96</f>
        <v>406.87</v>
      </c>
      <c r="AF48" s="329">
        <f t="shared" si="7"/>
        <v>5710.0033333333331</v>
      </c>
      <c r="AG48" s="332">
        <f t="shared" si="13"/>
        <v>5710</v>
      </c>
      <c r="AH48" s="336">
        <v>5710</v>
      </c>
      <c r="AI48" s="300" t="s">
        <v>296</v>
      </c>
    </row>
    <row r="49" spans="17:35" x14ac:dyDescent="0.3">
      <c r="Q49" s="10"/>
      <c r="R49" s="7"/>
      <c r="S49" s="346" t="s">
        <v>155</v>
      </c>
      <c r="T49" s="330">
        <f>(AG49/12)+55</f>
        <v>425.41666666666669</v>
      </c>
      <c r="U49" s="330">
        <f>(370.42)-21</f>
        <v>349.42</v>
      </c>
      <c r="V49" s="330">
        <f>(370.42)-27</f>
        <v>343.42</v>
      </c>
      <c r="W49" s="330">
        <f>(370.42)-91</f>
        <v>279.42</v>
      </c>
      <c r="X49" s="330">
        <f>(370.42)+83</f>
        <v>453.42</v>
      </c>
      <c r="Y49" s="330">
        <f>(370.42)+40</f>
        <v>410.42</v>
      </c>
      <c r="Z49" s="330">
        <f>(370.42)+108</f>
        <v>478.42</v>
      </c>
      <c r="AA49" s="330">
        <f>(370.42)-42</f>
        <v>328.42</v>
      </c>
      <c r="AB49" s="330">
        <f>(370.42)+39+46</f>
        <v>455.42</v>
      </c>
      <c r="AC49" s="330">
        <f>(370.42)-65</f>
        <v>305.42</v>
      </c>
      <c r="AD49" s="330">
        <f>(370.42)-89</f>
        <v>281.42</v>
      </c>
      <c r="AE49" s="330">
        <f>(370.42)-36</f>
        <v>334.42</v>
      </c>
      <c r="AF49" s="329">
        <f t="shared" si="7"/>
        <v>4445.0366666666669</v>
      </c>
      <c r="AG49" s="332">
        <f t="shared" si="13"/>
        <v>4445</v>
      </c>
      <c r="AH49" s="336">
        <v>4445</v>
      </c>
      <c r="AI49" s="300"/>
    </row>
    <row r="50" spans="17:35" x14ac:dyDescent="0.3">
      <c r="Q50" s="239"/>
      <c r="R50" s="7"/>
      <c r="S50" s="346" t="s">
        <v>158</v>
      </c>
      <c r="T50" s="330">
        <f>(AG50/12)-368</f>
        <v>669.75</v>
      </c>
      <c r="U50" s="330">
        <f>(1037.75)-127</f>
        <v>910.75</v>
      </c>
      <c r="V50" s="330">
        <f>(1037.75)+18</f>
        <v>1055.75</v>
      </c>
      <c r="W50" s="330">
        <f>(1037.75)+45</f>
        <v>1082.75</v>
      </c>
      <c r="X50" s="330">
        <f>(1037.75)+67</f>
        <v>1104.75</v>
      </c>
      <c r="Y50" s="330">
        <f>(1037.75)+203</f>
        <v>1240.75</v>
      </c>
      <c r="Z50" s="330">
        <f>(1037.75)+89</f>
        <v>1126.75</v>
      </c>
      <c r="AA50" s="330">
        <f>(1037.75)+25</f>
        <v>1062.75</v>
      </c>
      <c r="AB50" s="330">
        <f>(1037.75)+12</f>
        <v>1049.75</v>
      </c>
      <c r="AC50" s="330">
        <f>(1037.75)+29</f>
        <v>1066.75</v>
      </c>
      <c r="AD50" s="330">
        <f>(1037.75)+8</f>
        <v>1045.75</v>
      </c>
      <c r="AE50" s="330">
        <f>(1037.75)-1</f>
        <v>1036.75</v>
      </c>
      <c r="AF50" s="329">
        <f t="shared" si="7"/>
        <v>12453</v>
      </c>
      <c r="AG50" s="329">
        <f t="shared" si="13"/>
        <v>12453</v>
      </c>
      <c r="AH50" s="336">
        <v>12453</v>
      </c>
      <c r="AI50" s="300" t="s">
        <v>295</v>
      </c>
    </row>
    <row r="51" spans="17:35" x14ac:dyDescent="0.3">
      <c r="Q51" s="239"/>
      <c r="R51" s="7"/>
      <c r="S51" s="346" t="s">
        <v>166</v>
      </c>
      <c r="T51" s="330">
        <f>(AG51/12)+98</f>
        <v>373</v>
      </c>
      <c r="U51" s="330">
        <f>(275)-22</f>
        <v>253</v>
      </c>
      <c r="V51" s="330">
        <f>(275)+45</f>
        <v>320</v>
      </c>
      <c r="W51" s="330">
        <f>(275)+12</f>
        <v>287</v>
      </c>
      <c r="X51" s="330">
        <f>(275)+59</f>
        <v>334</v>
      </c>
      <c r="Y51" s="330">
        <f>(275)-71</f>
        <v>204</v>
      </c>
      <c r="Z51" s="330">
        <f>(275)-79</f>
        <v>196</v>
      </c>
      <c r="AA51" s="330">
        <f>(275)-38</f>
        <v>237</v>
      </c>
      <c r="AB51" s="330">
        <f>(275)-60</f>
        <v>215</v>
      </c>
      <c r="AC51" s="330">
        <f>(275)+32</f>
        <v>307</v>
      </c>
      <c r="AD51" s="330">
        <f>(275)+42</f>
        <v>317</v>
      </c>
      <c r="AE51" s="330">
        <f>(275)-18</f>
        <v>257</v>
      </c>
      <c r="AF51" s="329">
        <f t="shared" si="7"/>
        <v>3300</v>
      </c>
      <c r="AG51" s="332">
        <f t="shared" si="13"/>
        <v>3300</v>
      </c>
      <c r="AH51" s="336">
        <v>3300</v>
      </c>
      <c r="AI51" s="300"/>
    </row>
    <row r="52" spans="17:35" x14ac:dyDescent="0.3">
      <c r="Q52" s="239"/>
      <c r="R52" s="7"/>
      <c r="S52" s="346" t="s">
        <v>170</v>
      </c>
      <c r="T52" s="250">
        <v>1900</v>
      </c>
      <c r="U52" s="250">
        <v>360</v>
      </c>
      <c r="V52" s="250">
        <v>500</v>
      </c>
      <c r="W52" s="250">
        <v>1521</v>
      </c>
      <c r="X52" s="250">
        <v>2560</v>
      </c>
      <c r="Y52" s="250">
        <v>1495</v>
      </c>
      <c r="Z52" s="250">
        <v>2270</v>
      </c>
      <c r="AA52" s="250">
        <v>617</v>
      </c>
      <c r="AB52" s="250">
        <v>180</v>
      </c>
      <c r="AC52" s="250">
        <v>100</v>
      </c>
      <c r="AD52" s="250">
        <v>130</v>
      </c>
      <c r="AE52" s="250">
        <v>110</v>
      </c>
      <c r="AF52" s="329">
        <f t="shared" si="7"/>
        <v>11743</v>
      </c>
      <c r="AG52" s="332">
        <v>11743</v>
      </c>
      <c r="AH52" s="336">
        <f>AG52</f>
        <v>11743</v>
      </c>
      <c r="AI52" s="300"/>
    </row>
    <row r="53" spans="17:35" x14ac:dyDescent="0.3">
      <c r="Q53" s="7"/>
      <c r="R53" s="7"/>
      <c r="S53" s="346" t="s">
        <v>5</v>
      </c>
      <c r="T53" s="330">
        <f t="shared" si="9"/>
        <v>484.56416666666672</v>
      </c>
      <c r="U53" s="330">
        <f t="shared" ref="U53:AE55" si="20">T53</f>
        <v>484.56416666666672</v>
      </c>
      <c r="V53" s="330">
        <f t="shared" si="20"/>
        <v>484.56416666666672</v>
      </c>
      <c r="W53" s="330">
        <f t="shared" si="20"/>
        <v>484.56416666666672</v>
      </c>
      <c r="X53" s="330">
        <f t="shared" si="20"/>
        <v>484.56416666666672</v>
      </c>
      <c r="Y53" s="330">
        <f t="shared" si="20"/>
        <v>484.56416666666672</v>
      </c>
      <c r="Z53" s="330">
        <f t="shared" si="20"/>
        <v>484.56416666666672</v>
      </c>
      <c r="AA53" s="330">
        <f t="shared" si="20"/>
        <v>484.56416666666672</v>
      </c>
      <c r="AB53" s="330">
        <f t="shared" si="20"/>
        <v>484.56416666666672</v>
      </c>
      <c r="AC53" s="330">
        <f t="shared" si="20"/>
        <v>484.56416666666672</v>
      </c>
      <c r="AD53" s="330">
        <f t="shared" si="20"/>
        <v>484.56416666666672</v>
      </c>
      <c r="AE53" s="330">
        <f t="shared" si="20"/>
        <v>484.56416666666672</v>
      </c>
      <c r="AF53" s="329">
        <f t="shared" si="7"/>
        <v>5814.7700000000013</v>
      </c>
      <c r="AG53" s="332">
        <f t="shared" si="13"/>
        <v>5814.77</v>
      </c>
      <c r="AH53" s="336">
        <v>5814.77</v>
      </c>
      <c r="AI53" s="300"/>
    </row>
    <row r="54" spans="17:35" x14ac:dyDescent="0.3">
      <c r="Q54" s="7"/>
      <c r="R54" s="7"/>
      <c r="S54" s="346" t="s">
        <v>6</v>
      </c>
      <c r="T54" s="330">
        <f t="shared" si="9"/>
        <v>233.33333333333334</v>
      </c>
      <c r="U54" s="330">
        <f t="shared" si="20"/>
        <v>233.33333333333334</v>
      </c>
      <c r="V54" s="330">
        <f t="shared" si="20"/>
        <v>233.33333333333334</v>
      </c>
      <c r="W54" s="330">
        <f t="shared" si="20"/>
        <v>233.33333333333334</v>
      </c>
      <c r="X54" s="330">
        <f t="shared" si="20"/>
        <v>233.33333333333334</v>
      </c>
      <c r="Y54" s="330">
        <f t="shared" si="20"/>
        <v>233.33333333333334</v>
      </c>
      <c r="Z54" s="330">
        <f t="shared" si="20"/>
        <v>233.33333333333334</v>
      </c>
      <c r="AA54" s="330">
        <f t="shared" si="20"/>
        <v>233.33333333333334</v>
      </c>
      <c r="AB54" s="330">
        <f t="shared" si="20"/>
        <v>233.33333333333334</v>
      </c>
      <c r="AC54" s="330">
        <f t="shared" si="20"/>
        <v>233.33333333333334</v>
      </c>
      <c r="AD54" s="330">
        <f t="shared" si="20"/>
        <v>233.33333333333334</v>
      </c>
      <c r="AE54" s="330">
        <f t="shared" si="20"/>
        <v>233.33333333333334</v>
      </c>
      <c r="AF54" s="329">
        <f t="shared" si="7"/>
        <v>2800.0000000000005</v>
      </c>
      <c r="AG54" s="332">
        <f t="shared" si="13"/>
        <v>2800</v>
      </c>
      <c r="AH54" s="336">
        <v>2800</v>
      </c>
      <c r="AI54" s="300"/>
    </row>
    <row r="55" spans="17:35" x14ac:dyDescent="0.3">
      <c r="Q55" s="7"/>
      <c r="R55" s="7"/>
      <c r="S55" s="346" t="s">
        <v>213</v>
      </c>
      <c r="T55" s="330">
        <f t="shared" si="9"/>
        <v>444.41666666666669</v>
      </c>
      <c r="U55" s="330">
        <f t="shared" si="20"/>
        <v>444.41666666666669</v>
      </c>
      <c r="V55" s="330">
        <f t="shared" si="20"/>
        <v>444.41666666666669</v>
      </c>
      <c r="W55" s="330">
        <f t="shared" si="20"/>
        <v>444.41666666666669</v>
      </c>
      <c r="X55" s="330">
        <f t="shared" si="20"/>
        <v>444.41666666666669</v>
      </c>
      <c r="Y55" s="330">
        <f t="shared" si="20"/>
        <v>444.41666666666669</v>
      </c>
      <c r="Z55" s="330">
        <f t="shared" si="20"/>
        <v>444.41666666666669</v>
      </c>
      <c r="AA55" s="330">
        <f t="shared" si="20"/>
        <v>444.41666666666669</v>
      </c>
      <c r="AB55" s="330">
        <f t="shared" si="20"/>
        <v>444.41666666666669</v>
      </c>
      <c r="AC55" s="330">
        <f t="shared" si="20"/>
        <v>444.41666666666669</v>
      </c>
      <c r="AD55" s="330">
        <f t="shared" si="20"/>
        <v>444.41666666666669</v>
      </c>
      <c r="AE55" s="330">
        <f t="shared" si="20"/>
        <v>444.41666666666669</v>
      </c>
      <c r="AF55" s="329">
        <f t="shared" si="7"/>
        <v>5333</v>
      </c>
      <c r="AG55" s="332">
        <f t="shared" si="13"/>
        <v>5333</v>
      </c>
      <c r="AH55" s="339">
        <v>5333</v>
      </c>
      <c r="AI55" s="300"/>
    </row>
    <row r="56" spans="17:35" x14ac:dyDescent="0.3">
      <c r="R56" s="7"/>
      <c r="S56" s="355" t="s">
        <v>310</v>
      </c>
      <c r="T56">
        <v>1544</v>
      </c>
      <c r="U56">
        <v>1544</v>
      </c>
      <c r="V56">
        <v>1544</v>
      </c>
      <c r="W56">
        <v>1544</v>
      </c>
      <c r="X56">
        <v>1544</v>
      </c>
      <c r="Y56">
        <v>1544</v>
      </c>
      <c r="Z56">
        <v>1544</v>
      </c>
      <c r="AA56">
        <v>1544</v>
      </c>
      <c r="AB56">
        <v>1544</v>
      </c>
      <c r="AC56">
        <v>1544</v>
      </c>
      <c r="AD56">
        <v>1544</v>
      </c>
      <c r="AE56">
        <v>1544</v>
      </c>
      <c r="AF56" s="329">
        <f>SUM(T56:AE56)</f>
        <v>18528</v>
      </c>
      <c r="AG56" s="342">
        <f>AF56</f>
        <v>18528</v>
      </c>
    </row>
    <row r="57" spans="17:35" x14ac:dyDescent="0.3">
      <c r="Q57" s="7"/>
      <c r="R57" s="7"/>
      <c r="S57" s="356" t="s">
        <v>311</v>
      </c>
      <c r="T57" s="330">
        <v>570</v>
      </c>
      <c r="U57" s="330">
        <v>570</v>
      </c>
      <c r="V57" s="330">
        <v>570</v>
      </c>
      <c r="W57" s="330">
        <v>570</v>
      </c>
      <c r="X57" s="330">
        <v>570</v>
      </c>
      <c r="Y57" s="330">
        <v>570</v>
      </c>
      <c r="Z57" s="330">
        <v>570</v>
      </c>
      <c r="AA57" s="330">
        <v>570</v>
      </c>
      <c r="AB57" s="330">
        <v>570</v>
      </c>
      <c r="AC57" s="330">
        <v>570</v>
      </c>
      <c r="AD57" s="330">
        <v>570</v>
      </c>
      <c r="AE57" s="330">
        <v>570</v>
      </c>
      <c r="AF57" s="329">
        <f>SUM(T57:AE57)</f>
        <v>6840</v>
      </c>
      <c r="AG57" s="331">
        <f>AF57</f>
        <v>6840</v>
      </c>
      <c r="AH57" s="341"/>
      <c r="AI57" s="300"/>
    </row>
    <row r="58" spans="17:35" x14ac:dyDescent="0.3">
      <c r="Q58" s="7"/>
      <c r="R58" s="7"/>
      <c r="S58" s="356" t="s">
        <v>312</v>
      </c>
      <c r="T58" s="330">
        <v>3888</v>
      </c>
      <c r="U58" s="330">
        <v>3888</v>
      </c>
      <c r="V58" s="330">
        <v>3888</v>
      </c>
      <c r="W58" s="330">
        <v>3888</v>
      </c>
      <c r="X58" s="330">
        <v>3888</v>
      </c>
      <c r="Y58" s="330">
        <v>3888</v>
      </c>
      <c r="Z58" s="330">
        <v>3888</v>
      </c>
      <c r="AA58" s="330">
        <v>3888</v>
      </c>
      <c r="AB58" s="330">
        <v>3888</v>
      </c>
      <c r="AC58" s="330">
        <v>3888</v>
      </c>
      <c r="AD58" s="330">
        <v>3888</v>
      </c>
      <c r="AE58" s="330">
        <v>3888</v>
      </c>
      <c r="AF58" s="329">
        <f>SUM(T58:AE58)</f>
        <v>46656</v>
      </c>
      <c r="AG58" s="331">
        <f>AF58</f>
        <v>46656</v>
      </c>
      <c r="AH58" s="341"/>
      <c r="AI58" s="300"/>
    </row>
    <row r="59" spans="17:35" x14ac:dyDescent="0.3">
      <c r="R59" s="7"/>
      <c r="S59" s="353" t="s">
        <v>27</v>
      </c>
      <c r="T59" s="292">
        <f t="shared" ref="T59:AG59" si="21">SUM(T13:T58)</f>
        <v>122347.4510404936</v>
      </c>
      <c r="U59" s="292">
        <f t="shared" si="21"/>
        <v>93912.749082551265</v>
      </c>
      <c r="V59" s="292">
        <f t="shared" si="21"/>
        <v>122400.74908255129</v>
      </c>
      <c r="W59" s="292">
        <f t="shared" si="21"/>
        <v>146747.0167350531</v>
      </c>
      <c r="X59" s="292">
        <f t="shared" si="21"/>
        <v>146862.16702791664</v>
      </c>
      <c r="Y59" s="292">
        <f t="shared" si="21"/>
        <v>126570.53955791668</v>
      </c>
      <c r="Z59" s="292">
        <f t="shared" si="21"/>
        <v>156364.69402836848</v>
      </c>
      <c r="AA59" s="292">
        <f t="shared" si="21"/>
        <v>112920.54015791669</v>
      </c>
      <c r="AB59" s="292">
        <f t="shared" si="21"/>
        <v>112386.9401579167</v>
      </c>
      <c r="AC59" s="292">
        <f t="shared" si="21"/>
        <v>132903.98390701303</v>
      </c>
      <c r="AD59" s="292">
        <f t="shared" si="21"/>
        <v>111387.54015791669</v>
      </c>
      <c r="AE59" s="292">
        <f t="shared" si="21"/>
        <v>110711.06361341664</v>
      </c>
      <c r="AF59" s="292">
        <f t="shared" si="21"/>
        <v>1495515.4345490308</v>
      </c>
      <c r="AG59" s="289">
        <f t="shared" si="21"/>
        <v>1495515.2954567231</v>
      </c>
    </row>
    <row r="60" spans="17:35" x14ac:dyDescent="0.3">
      <c r="R60" s="7"/>
      <c r="S60" s="353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>
        <f>SUM(T59:AE59)</f>
        <v>1495515.4345490308</v>
      </c>
      <c r="AG60" s="289"/>
      <c r="AH60" t="s">
        <v>318</v>
      </c>
    </row>
    <row r="61" spans="17:35" x14ac:dyDescent="0.3">
      <c r="R61" s="7"/>
      <c r="S61" s="353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>
        <f>SUM(T13:AE58)</f>
        <v>1495515.4345490341</v>
      </c>
      <c r="AG61" s="289"/>
      <c r="AH61" t="s">
        <v>318</v>
      </c>
    </row>
    <row r="62" spans="17:35" x14ac:dyDescent="0.3">
      <c r="S62" s="287" t="s">
        <v>254</v>
      </c>
      <c r="T62" s="293">
        <f t="shared" ref="T62:AE62" si="22">T11-T59</f>
        <v>23723.327757840001</v>
      </c>
      <c r="U62" s="293">
        <f t="shared" si="22"/>
        <v>23563.006049949036</v>
      </c>
      <c r="V62" s="293">
        <f t="shared" si="22"/>
        <v>3826.4942170323484</v>
      </c>
      <c r="W62" s="345">
        <f t="shared" si="22"/>
        <v>-16156.529351927777</v>
      </c>
      <c r="X62" s="345">
        <f t="shared" si="22"/>
        <v>-13743.057603020483</v>
      </c>
      <c r="Y62" s="293">
        <f t="shared" si="22"/>
        <v>17214.515154531415</v>
      </c>
      <c r="Z62" s="345">
        <f t="shared" si="22"/>
        <v>-17006.300938810949</v>
      </c>
      <c r="AA62" s="293">
        <f t="shared" si="22"/>
        <v>24224.522120195586</v>
      </c>
      <c r="AB62" s="293">
        <f t="shared" si="22"/>
        <v>23679.50671447294</v>
      </c>
      <c r="AC62" s="293">
        <f t="shared" si="22"/>
        <v>1618.6552625148033</v>
      </c>
      <c r="AD62" s="293">
        <f t="shared" si="22"/>
        <v>23199.195160180709</v>
      </c>
      <c r="AE62" s="293">
        <f t="shared" si="22"/>
        <v>23564.219778965562</v>
      </c>
      <c r="AF62" s="293"/>
      <c r="AG62" s="294"/>
    </row>
    <row r="63" spans="17:35" x14ac:dyDescent="0.3">
      <c r="S63" s="278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289"/>
    </row>
    <row r="64" spans="17:35" x14ac:dyDescent="0.3">
      <c r="S64" s="287" t="s">
        <v>255</v>
      </c>
      <c r="T64" s="286">
        <f t="shared" ref="T64:AE64" si="23">T8+T62</f>
        <v>-33121.672242159999</v>
      </c>
      <c r="U64" s="286">
        <f t="shared" si="23"/>
        <v>-9558.6661922109633</v>
      </c>
      <c r="V64" s="286">
        <f t="shared" si="23"/>
        <v>-5732.171975178615</v>
      </c>
      <c r="W64" s="286">
        <f t="shared" si="23"/>
        <v>-21888.701327106392</v>
      </c>
      <c r="X64" s="286">
        <f t="shared" si="23"/>
        <v>-35631.758930126874</v>
      </c>
      <c r="Y64" s="286">
        <f t="shared" si="23"/>
        <v>-18417.24377559546</v>
      </c>
      <c r="Z64" s="286">
        <f t="shared" si="23"/>
        <v>-35423.544714406409</v>
      </c>
      <c r="AA64" s="286">
        <f t="shared" si="23"/>
        <v>-11199.022594210823</v>
      </c>
      <c r="AB64" s="286">
        <f t="shared" si="23"/>
        <v>12480.484120262117</v>
      </c>
      <c r="AC64" s="286">
        <f t="shared" si="23"/>
        <v>14099.139382776921</v>
      </c>
      <c r="AD64" s="286">
        <f t="shared" si="23"/>
        <v>37298.334542957629</v>
      </c>
      <c r="AE64" s="295">
        <f t="shared" si="23"/>
        <v>60862.554321923191</v>
      </c>
      <c r="AF64" s="295"/>
      <c r="AG64" s="289"/>
    </row>
    <row r="65" spans="19:33" x14ac:dyDescent="0.3">
      <c r="S65" s="296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297"/>
    </row>
    <row r="66" spans="19:33" x14ac:dyDescent="0.3"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211"/>
    </row>
    <row r="67" spans="19:33" x14ac:dyDescent="0.3">
      <c r="S67" s="9" t="s">
        <v>256</v>
      </c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211"/>
    </row>
    <row r="68" spans="19:33" x14ac:dyDescent="0.3">
      <c r="S68" t="s">
        <v>257</v>
      </c>
      <c r="T68" s="160">
        <v>3</v>
      </c>
      <c r="U68" s="160">
        <v>2</v>
      </c>
      <c r="V68" s="160">
        <v>2</v>
      </c>
      <c r="W68" s="160">
        <v>2</v>
      </c>
      <c r="X68" s="160">
        <v>2</v>
      </c>
      <c r="Y68" s="160">
        <v>2</v>
      </c>
      <c r="Z68" s="160">
        <v>3</v>
      </c>
      <c r="AA68" s="160">
        <v>2</v>
      </c>
      <c r="AB68" s="160">
        <v>2</v>
      </c>
      <c r="AC68" s="160">
        <v>2</v>
      </c>
      <c r="AD68" s="160">
        <v>2</v>
      </c>
      <c r="AE68" s="160">
        <v>2</v>
      </c>
      <c r="AF68" s="160"/>
      <c r="AG68" s="211">
        <f>SUM(T68:AE68)</f>
        <v>26</v>
      </c>
    </row>
  </sheetData>
  <mergeCells count="3">
    <mergeCell ref="S1:AG1"/>
    <mergeCell ref="S2:AG2"/>
    <mergeCell ref="S3:AG3"/>
  </mergeCell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80"/>
  <sheetViews>
    <sheetView topLeftCell="O2" zoomScale="106" zoomScaleNormal="106" workbookViewId="0">
      <selection activeCell="P5" sqref="P5"/>
    </sheetView>
  </sheetViews>
  <sheetFormatPr defaultRowHeight="14.4" x14ac:dyDescent="0.3"/>
  <cols>
    <col min="1" max="1" width="14.5546875" customWidth="1"/>
    <col min="2" max="2" width="9.109375" customWidth="1"/>
    <col min="14" max="14" width="14.109375" customWidth="1"/>
    <col min="15" max="15" width="11" customWidth="1"/>
    <col min="16" max="16" width="13.5546875" customWidth="1"/>
    <col min="17" max="17" width="11.88671875" customWidth="1"/>
    <col min="19" max="19" width="54" customWidth="1"/>
    <col min="20" max="20" width="10" customWidth="1"/>
    <col min="21" max="21" width="11.44140625" customWidth="1"/>
    <col min="22" max="22" width="11" customWidth="1"/>
    <col min="23" max="23" width="11.44140625" customWidth="1"/>
    <col min="24" max="24" width="9.6640625" customWidth="1"/>
    <col min="25" max="25" width="10.5546875" customWidth="1"/>
    <col min="26" max="26" width="12.88671875" customWidth="1"/>
    <col min="27" max="27" width="10.109375" customWidth="1"/>
    <col min="28" max="28" width="9.6640625" customWidth="1"/>
    <col min="29" max="29" width="12.88671875" customWidth="1"/>
    <col min="30" max="30" width="11.44140625" customWidth="1"/>
    <col min="31" max="31" width="11" customWidth="1"/>
    <col min="32" max="32" width="18.5546875" customWidth="1"/>
    <col min="33" max="33" width="25" customWidth="1"/>
    <col min="34" max="34" width="17" customWidth="1"/>
    <col min="35" max="35" width="17.6640625" customWidth="1"/>
  </cols>
  <sheetData>
    <row r="1" spans="1:35" x14ac:dyDescent="0.3">
      <c r="A1" s="259" t="s">
        <v>214</v>
      </c>
      <c r="B1" s="260" t="s">
        <v>215</v>
      </c>
      <c r="C1" s="260" t="s">
        <v>216</v>
      </c>
      <c r="D1" s="260" t="s">
        <v>217</v>
      </c>
      <c r="E1" s="260" t="s">
        <v>218</v>
      </c>
      <c r="F1" s="260" t="s">
        <v>219</v>
      </c>
      <c r="G1" s="260" t="s">
        <v>220</v>
      </c>
      <c r="H1" s="261" t="s">
        <v>221</v>
      </c>
      <c r="I1" s="261" t="s">
        <v>222</v>
      </c>
      <c r="J1" s="261" t="s">
        <v>223</v>
      </c>
      <c r="K1" s="261" t="s">
        <v>224</v>
      </c>
      <c r="L1" s="261" t="s">
        <v>225</v>
      </c>
      <c r="M1" s="261" t="s">
        <v>226</v>
      </c>
      <c r="N1" s="262" t="s">
        <v>227</v>
      </c>
      <c r="O1" s="263" t="s">
        <v>228</v>
      </c>
      <c r="S1" s="421" t="s">
        <v>258</v>
      </c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3"/>
    </row>
    <row r="2" spans="1:35" ht="27" x14ac:dyDescent="0.25">
      <c r="A2" s="260" t="s">
        <v>229</v>
      </c>
      <c r="B2" s="264">
        <v>202380.82613000018</v>
      </c>
      <c r="C2" s="264">
        <f>B6</f>
        <v>123630.59593166687</v>
      </c>
      <c r="D2" s="264">
        <f t="shared" ref="D2:M2" si="0">C6</f>
        <v>84035.480832500194</v>
      </c>
      <c r="E2" s="264">
        <f t="shared" si="0"/>
        <v>75762.423282916832</v>
      </c>
      <c r="F2" s="264">
        <f t="shared" si="0"/>
        <v>71619.644508125173</v>
      </c>
      <c r="G2" s="264">
        <f t="shared" si="0"/>
        <v>69721.755120729329</v>
      </c>
      <c r="H2" s="264">
        <f t="shared" si="0"/>
        <v>73473.627560364665</v>
      </c>
      <c r="I2" s="264">
        <f t="shared" si="0"/>
        <v>70469.746646849089</v>
      </c>
      <c r="J2" s="264">
        <f t="shared" si="0"/>
        <v>68967.806190091302</v>
      </c>
      <c r="K2" s="264">
        <f t="shared" si="0"/>
        <v>68230.860961712402</v>
      </c>
      <c r="L2" s="264">
        <f t="shared" si="0"/>
        <v>67360.138347522705</v>
      </c>
      <c r="M2" s="264">
        <f t="shared" si="0"/>
        <v>67342.777040428104</v>
      </c>
      <c r="N2" s="265"/>
      <c r="S2" s="424" t="s">
        <v>242</v>
      </c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6"/>
    </row>
    <row r="3" spans="1:35" ht="27" x14ac:dyDescent="0.25">
      <c r="A3" s="273" t="s">
        <v>230</v>
      </c>
      <c r="B3" s="274">
        <f>128759.731466667-39999+1000</f>
        <v>89760.731466666999</v>
      </c>
      <c r="C3" s="274">
        <f>128759.731466667-41578+1000+350+49+300</f>
        <v>88880.731466666999</v>
      </c>
      <c r="D3" s="274">
        <f>128759.731466667+2658+3561</f>
        <v>134978.731466667</v>
      </c>
      <c r="E3" s="274">
        <f>128759.731466667-58778+60000+4072+900</f>
        <v>134953.731466667</v>
      </c>
      <c r="F3" s="274">
        <f>128759.731466667+5689+500+500+199</f>
        <v>135647.731466667</v>
      </c>
      <c r="G3" s="274">
        <f>135450+19000+1</f>
        <v>154451</v>
      </c>
      <c r="H3" s="274">
        <f>128759.731466667+6072+100</f>
        <v>134931.731466667</v>
      </c>
      <c r="I3" s="274">
        <f>128759.731466667+6072+100</f>
        <v>134931.731466667</v>
      </c>
      <c r="J3" s="274">
        <f>128759.731466667-12563+10000+5590.1+3201</f>
        <v>134987.831466667</v>
      </c>
      <c r="K3" s="274">
        <f>128759.731466666-4766+5590.1+2795+600</f>
        <v>132978.83146666602</v>
      </c>
      <c r="L3" s="274">
        <f>128759.731466667+5590.1+300+1</f>
        <v>134650.831466667</v>
      </c>
      <c r="M3" s="274">
        <f>128759.731466667-15231+5590.1+6072+6072+3201-500</f>
        <v>133963.831466667</v>
      </c>
      <c r="N3" s="275">
        <f>SUM(B3:M3)</f>
        <v>1545117.4461333361</v>
      </c>
      <c r="O3" s="266">
        <v>1545116.7776000001</v>
      </c>
      <c r="P3" s="267" t="s">
        <v>231</v>
      </c>
      <c r="S3" s="427" t="s">
        <v>353</v>
      </c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9"/>
    </row>
    <row r="4" spans="1:35" ht="15" x14ac:dyDescent="0.25">
      <c r="A4" s="260" t="s">
        <v>232</v>
      </c>
      <c r="B4" s="261">
        <f>SUM(B2:B3)</f>
        <v>292141.5575966672</v>
      </c>
      <c r="C4" s="261">
        <f t="shared" ref="C4:M4" si="1">SUM(C2:C3)</f>
        <v>212511.32739833387</v>
      </c>
      <c r="D4" s="261">
        <f t="shared" si="1"/>
        <v>219014.21229916718</v>
      </c>
      <c r="E4" s="261">
        <f>SUM(E2:E3)</f>
        <v>210716.15474958383</v>
      </c>
      <c r="F4" s="261">
        <f>SUM(F2:F3)</f>
        <v>207267.37597479217</v>
      </c>
      <c r="G4" s="261">
        <f>SUM(G2:G3)</f>
        <v>224172.75512072933</v>
      </c>
      <c r="H4" s="261">
        <f>SUM(H2:H3)</f>
        <v>208405.35902703166</v>
      </c>
      <c r="I4" s="261">
        <f t="shared" si="1"/>
        <v>205401.47811351609</v>
      </c>
      <c r="J4" s="261">
        <f t="shared" si="1"/>
        <v>203955.63765675831</v>
      </c>
      <c r="K4" s="261">
        <f t="shared" si="1"/>
        <v>201209.69242837842</v>
      </c>
      <c r="L4" s="261">
        <f t="shared" si="1"/>
        <v>202010.96981418971</v>
      </c>
      <c r="M4" s="261">
        <f t="shared" si="1"/>
        <v>201306.60850709511</v>
      </c>
      <c r="N4" s="268"/>
      <c r="P4" s="267"/>
      <c r="S4" s="27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279" t="s">
        <v>243</v>
      </c>
      <c r="AG4" s="280" t="s">
        <v>244</v>
      </c>
    </row>
    <row r="5" spans="1:35" ht="15" x14ac:dyDescent="0.25">
      <c r="A5" s="260" t="s">
        <v>233</v>
      </c>
      <c r="B5" s="269">
        <f>0.75*B3 + 0.5*B2</f>
        <v>168510.96166500033</v>
      </c>
      <c r="C5" s="269">
        <f t="shared" ref="C5:M5" si="2">0.75*C3 + 0.5*C2</f>
        <v>128475.84656583368</v>
      </c>
      <c r="D5" s="269">
        <f t="shared" si="2"/>
        <v>143251.78901625035</v>
      </c>
      <c r="E5" s="269">
        <f t="shared" si="2"/>
        <v>139096.51024145866</v>
      </c>
      <c r="F5" s="269">
        <f t="shared" si="2"/>
        <v>137545.62085406284</v>
      </c>
      <c r="G5" s="269">
        <f t="shared" si="2"/>
        <v>150699.12756036466</v>
      </c>
      <c r="H5" s="269">
        <f t="shared" si="2"/>
        <v>137935.61238018257</v>
      </c>
      <c r="I5" s="269">
        <f t="shared" si="2"/>
        <v>136433.67192342479</v>
      </c>
      <c r="J5" s="269">
        <f t="shared" si="2"/>
        <v>135724.7766950459</v>
      </c>
      <c r="K5" s="269">
        <f t="shared" si="2"/>
        <v>133849.55408085571</v>
      </c>
      <c r="L5" s="269">
        <f t="shared" si="2"/>
        <v>134668.19277376161</v>
      </c>
      <c r="M5" s="269">
        <f t="shared" si="2"/>
        <v>134144.26212021429</v>
      </c>
      <c r="N5" s="270">
        <f>SUM(B5:M5)</f>
        <v>1680335.9258764556</v>
      </c>
      <c r="P5" s="267" t="s">
        <v>231</v>
      </c>
      <c r="S5" s="278"/>
      <c r="T5" s="281">
        <v>42186</v>
      </c>
      <c r="U5" s="281">
        <v>42217</v>
      </c>
      <c r="V5" s="281">
        <v>42248</v>
      </c>
      <c r="W5" s="281">
        <v>42278</v>
      </c>
      <c r="X5" s="281">
        <v>42309</v>
      </c>
      <c r="Y5" s="281">
        <v>42339</v>
      </c>
      <c r="Z5" s="281">
        <v>42370</v>
      </c>
      <c r="AA5" s="281">
        <v>42401</v>
      </c>
      <c r="AB5" s="281">
        <v>42430</v>
      </c>
      <c r="AC5" s="281">
        <v>42461</v>
      </c>
      <c r="AD5" s="281">
        <v>42491</v>
      </c>
      <c r="AE5" s="281">
        <v>42522</v>
      </c>
      <c r="AF5" s="281" t="s">
        <v>245</v>
      </c>
      <c r="AG5" s="282" t="s">
        <v>12</v>
      </c>
      <c r="AH5" s="258"/>
      <c r="AI5" s="9" t="s">
        <v>246</v>
      </c>
    </row>
    <row r="6" spans="1:35" ht="27" x14ac:dyDescent="0.25">
      <c r="A6" s="260" t="s">
        <v>234</v>
      </c>
      <c r="B6" s="261">
        <f>B4-B5</f>
        <v>123630.59593166687</v>
      </c>
      <c r="C6" s="261">
        <f t="shared" ref="C6:M6" si="3">C4-C5</f>
        <v>84035.480832500194</v>
      </c>
      <c r="D6" s="261">
        <f t="shared" si="3"/>
        <v>75762.423282916832</v>
      </c>
      <c r="E6" s="261">
        <f t="shared" si="3"/>
        <v>71619.644508125173</v>
      </c>
      <c r="F6" s="261">
        <f t="shared" si="3"/>
        <v>69721.755120729329</v>
      </c>
      <c r="G6" s="261">
        <f t="shared" si="3"/>
        <v>73473.627560364665</v>
      </c>
      <c r="H6" s="261">
        <f t="shared" si="3"/>
        <v>70469.746646849089</v>
      </c>
      <c r="I6" s="261">
        <f t="shared" si="3"/>
        <v>68967.806190091302</v>
      </c>
      <c r="J6" s="261">
        <f t="shared" si="3"/>
        <v>68230.860961712402</v>
      </c>
      <c r="K6" s="261">
        <f t="shared" si="3"/>
        <v>67360.138347522705</v>
      </c>
      <c r="L6" s="261">
        <f t="shared" si="3"/>
        <v>67342.777040428104</v>
      </c>
      <c r="M6" s="261">
        <f t="shared" si="3"/>
        <v>67162.346386880818</v>
      </c>
      <c r="N6" s="266"/>
      <c r="O6" s="276"/>
      <c r="P6" s="267"/>
      <c r="S6" s="278"/>
      <c r="T6" s="281" t="s">
        <v>247</v>
      </c>
      <c r="U6" s="281" t="s">
        <v>247</v>
      </c>
      <c r="V6" s="281" t="s">
        <v>247</v>
      </c>
      <c r="W6" s="281" t="s">
        <v>247</v>
      </c>
      <c r="X6" s="281" t="s">
        <v>247</v>
      </c>
      <c r="Y6" s="281" t="s">
        <v>247</v>
      </c>
      <c r="Z6" s="281" t="s">
        <v>247</v>
      </c>
      <c r="AA6" s="281" t="s">
        <v>247</v>
      </c>
      <c r="AB6" s="281" t="s">
        <v>247</v>
      </c>
      <c r="AC6" s="281" t="s">
        <v>247</v>
      </c>
      <c r="AD6" s="281" t="s">
        <v>247</v>
      </c>
      <c r="AE6" s="281" t="s">
        <v>247</v>
      </c>
      <c r="AF6" s="283" t="s">
        <v>247</v>
      </c>
      <c r="AG6" s="283" t="s">
        <v>247</v>
      </c>
      <c r="AH6" s="284"/>
    </row>
    <row r="7" spans="1:35" ht="15" x14ac:dyDescent="0.25">
      <c r="A7" s="271" t="s">
        <v>235</v>
      </c>
      <c r="B7" s="272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66"/>
      <c r="S7" s="27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285"/>
      <c r="AH7" s="160"/>
    </row>
    <row r="8" spans="1:35" ht="15" x14ac:dyDescent="0.25">
      <c r="A8" s="271" t="s">
        <v>236</v>
      </c>
      <c r="B8" s="272">
        <f t="shared" ref="B8:M8" si="4">B5+B7</f>
        <v>168510.96166500033</v>
      </c>
      <c r="C8" s="272">
        <f t="shared" si="4"/>
        <v>128475.84656583368</v>
      </c>
      <c r="D8" s="272">
        <f t="shared" si="4"/>
        <v>143251.78901625035</v>
      </c>
      <c r="E8" s="272">
        <f t="shared" si="4"/>
        <v>139096.51024145866</v>
      </c>
      <c r="F8" s="272">
        <f t="shared" si="4"/>
        <v>137545.62085406284</v>
      </c>
      <c r="G8" s="272">
        <f t="shared" si="4"/>
        <v>150699.12756036466</v>
      </c>
      <c r="H8" s="272">
        <f t="shared" si="4"/>
        <v>137935.61238018257</v>
      </c>
      <c r="I8" s="272">
        <f t="shared" si="4"/>
        <v>136433.67192342479</v>
      </c>
      <c r="J8" s="272">
        <f t="shared" si="4"/>
        <v>135724.7766950459</v>
      </c>
      <c r="K8" s="272">
        <f t="shared" si="4"/>
        <v>133849.55408085571</v>
      </c>
      <c r="L8" s="272">
        <f t="shared" si="4"/>
        <v>134668.19277376161</v>
      </c>
      <c r="M8" s="272">
        <f t="shared" si="4"/>
        <v>134144.26212021429</v>
      </c>
      <c r="N8" s="266">
        <f>SUM(B8:M8)</f>
        <v>1680335.9258764556</v>
      </c>
      <c r="P8" s="277"/>
      <c r="S8" s="278" t="s">
        <v>248</v>
      </c>
      <c r="T8" s="340">
        <f>SUM('Stat Fin Position'!C7:C9)</f>
        <v>-56845</v>
      </c>
      <c r="U8" s="286">
        <f t="shared" ref="U8:AE8" si="5">T64</f>
        <v>-9981.5031117432518</v>
      </c>
      <c r="V8" s="286">
        <f t="shared" si="5"/>
        <v>24741.615433789164</v>
      </c>
      <c r="W8" s="286">
        <f t="shared" si="5"/>
        <v>45872.676429738218</v>
      </c>
      <c r="X8" s="286">
        <f t="shared" si="5"/>
        <v>33755.480087787684</v>
      </c>
      <c r="Y8" s="286">
        <f t="shared" si="5"/>
        <v>46250.322683933875</v>
      </c>
      <c r="Z8" s="286">
        <f t="shared" si="5"/>
        <v>67861.71258638188</v>
      </c>
      <c r="AA8" s="286">
        <f t="shared" si="5"/>
        <v>41840.056991635414</v>
      </c>
      <c r="AB8" s="286">
        <f t="shared" si="5"/>
        <v>61897.990657143528</v>
      </c>
      <c r="AC8" s="286">
        <f t="shared" si="5"/>
        <v>81083.459094272752</v>
      </c>
      <c r="AD8" s="286">
        <f t="shared" si="5"/>
        <v>78061.907644606952</v>
      </c>
      <c r="AE8" s="286">
        <f t="shared" si="5"/>
        <v>97340.362160451885</v>
      </c>
      <c r="AF8" s="286"/>
      <c r="AG8" s="285"/>
      <c r="AH8" s="160"/>
      <c r="AI8" t="s">
        <v>313</v>
      </c>
    </row>
    <row r="9" spans="1:35" ht="15" x14ac:dyDescent="0.25">
      <c r="S9" s="278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285"/>
      <c r="AH9" s="160"/>
    </row>
    <row r="10" spans="1:35" ht="15" x14ac:dyDescent="0.25">
      <c r="S10" s="287" t="s">
        <v>249</v>
      </c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285"/>
      <c r="AH10" s="160"/>
      <c r="AI10" s="300"/>
    </row>
    <row r="11" spans="1:35" ht="15" x14ac:dyDescent="0.25">
      <c r="A11" t="s">
        <v>237</v>
      </c>
      <c r="B11" t="s">
        <v>238</v>
      </c>
      <c r="P11" s="277"/>
      <c r="S11" s="291" t="s">
        <v>250</v>
      </c>
      <c r="T11" s="288">
        <f>B8</f>
        <v>168510.96166500033</v>
      </c>
      <c r="U11" s="288">
        <f t="shared" ref="U11:AF11" si="6">C8</f>
        <v>128475.84656583368</v>
      </c>
      <c r="V11" s="288">
        <f t="shared" si="6"/>
        <v>143251.78901625035</v>
      </c>
      <c r="W11" s="288">
        <f t="shared" si="6"/>
        <v>139096.51024145866</v>
      </c>
      <c r="X11" s="288">
        <f t="shared" si="6"/>
        <v>137545.62085406284</v>
      </c>
      <c r="Y11" s="288">
        <f t="shared" si="6"/>
        <v>150699.12756036466</v>
      </c>
      <c r="Z11" s="288">
        <f t="shared" si="6"/>
        <v>137935.61238018257</v>
      </c>
      <c r="AA11" s="288">
        <f t="shared" si="6"/>
        <v>136433.67192342479</v>
      </c>
      <c r="AB11" s="288">
        <f t="shared" si="6"/>
        <v>135724.7766950459</v>
      </c>
      <c r="AC11" s="288">
        <f t="shared" si="6"/>
        <v>133849.55408085571</v>
      </c>
      <c r="AD11" s="288">
        <f t="shared" si="6"/>
        <v>134668.19277376161</v>
      </c>
      <c r="AE11" s="288">
        <f t="shared" si="6"/>
        <v>134144.26212021429</v>
      </c>
      <c r="AF11" s="288">
        <f t="shared" si="6"/>
        <v>1680335.9258764556</v>
      </c>
      <c r="AG11" s="290">
        <f>N5</f>
        <v>1680335.9258764556</v>
      </c>
      <c r="AH11" s="160"/>
      <c r="AI11" s="300" t="s">
        <v>251</v>
      </c>
    </row>
    <row r="12" spans="1:35" ht="15" x14ac:dyDescent="0.25">
      <c r="B12" t="s">
        <v>239</v>
      </c>
      <c r="S12" s="287" t="s">
        <v>259</v>
      </c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162"/>
      <c r="AG12" s="292" t="s">
        <v>262</v>
      </c>
      <c r="AH12" s="334" t="s">
        <v>263</v>
      </c>
      <c r="AI12" s="300"/>
    </row>
    <row r="13" spans="1:35" ht="15" x14ac:dyDescent="0.25">
      <c r="B13" t="s">
        <v>320</v>
      </c>
      <c r="S13" s="299" t="s">
        <v>260</v>
      </c>
      <c r="T13" s="329">
        <f>(AG13/12)-18000</f>
        <v>15812.716666666667</v>
      </c>
      <c r="U13" s="329">
        <f>(33812.72)-16500</f>
        <v>17312.72</v>
      </c>
      <c r="V13" s="329">
        <f>(33812.72)+6200</f>
        <v>40012.720000000001</v>
      </c>
      <c r="W13" s="329">
        <f>(33812.72)+6100</f>
        <v>39912.720000000001</v>
      </c>
      <c r="X13" s="329">
        <f>(33812.72)+7890</f>
        <v>41702.720000000001</v>
      </c>
      <c r="Y13" s="329">
        <f>(33812.72)+10950-145.0006</f>
        <v>44617.719400000002</v>
      </c>
      <c r="Z13" s="329">
        <f>(33812.72)+550</f>
        <v>34362.720000000001</v>
      </c>
      <c r="AA13" s="329">
        <f>(33812.72)+590</f>
        <v>34402.720000000001</v>
      </c>
      <c r="AB13" s="329">
        <f>(33812.72)+655</f>
        <v>34467.72</v>
      </c>
      <c r="AC13" s="329">
        <f>(33812.72)+550</f>
        <v>34362.720000000001</v>
      </c>
      <c r="AD13" s="329">
        <f>(33812.72)+620</f>
        <v>34432.720000000001</v>
      </c>
      <c r="AE13" s="329">
        <f>(33812.72)+540-0.04</f>
        <v>34352.68</v>
      </c>
      <c r="AF13" s="329">
        <f>SUM(T13:AE13)</f>
        <v>405752.59606666659</v>
      </c>
      <c r="AG13" s="329">
        <f>AH13*1.1</f>
        <v>405752.60000000003</v>
      </c>
      <c r="AH13" s="335">
        <v>368866</v>
      </c>
      <c r="AI13" s="300"/>
    </row>
    <row r="14" spans="1:35" ht="15" x14ac:dyDescent="0.25">
      <c r="B14" t="s">
        <v>241</v>
      </c>
      <c r="S14" s="299" t="s">
        <v>261</v>
      </c>
      <c r="T14" s="329">
        <f>(AG14/12)-2700</f>
        <v>813.76666666666688</v>
      </c>
      <c r="U14" s="329">
        <f>(3513.767)-2600</f>
        <v>913.76699999999983</v>
      </c>
      <c r="V14" s="329">
        <f>(3513.767)+600</f>
        <v>4113.7669999999998</v>
      </c>
      <c r="W14" s="329">
        <f>(3513.767)+856</f>
        <v>4369.7669999999998</v>
      </c>
      <c r="X14" s="329">
        <f>(3513.767)+990</f>
        <v>4503.7669999999998</v>
      </c>
      <c r="Y14" s="329">
        <f>(3513.767)+1870-113</f>
        <v>5270.7669999999998</v>
      </c>
      <c r="Z14" s="329">
        <f>(3513.767)+200</f>
        <v>3713.7669999999998</v>
      </c>
      <c r="AA14" s="329">
        <f>(3513.767)+321</f>
        <v>3834.7669999999998</v>
      </c>
      <c r="AB14" s="329">
        <f>(3513.767)+145</f>
        <v>3658.7669999999998</v>
      </c>
      <c r="AC14" s="329">
        <f>(3513.767)+124</f>
        <v>3637.7669999999998</v>
      </c>
      <c r="AD14" s="329">
        <f>(3513.767)+208</f>
        <v>3721.7669999999998</v>
      </c>
      <c r="AE14" s="329">
        <f>(3513.767)+99</f>
        <v>3612.7669999999998</v>
      </c>
      <c r="AF14" s="329">
        <f t="shared" ref="AF14:AF55" si="7">SUM(T14:AE14)</f>
        <v>42165.203666666668</v>
      </c>
      <c r="AG14" s="329">
        <f t="shared" ref="AG14:AG28" si="8">AH14*1.1</f>
        <v>42165.200000000004</v>
      </c>
      <c r="AH14" s="335">
        <v>38332</v>
      </c>
      <c r="AI14" s="300" t="s">
        <v>252</v>
      </c>
    </row>
    <row r="15" spans="1:35" ht="15" x14ac:dyDescent="0.25">
      <c r="R15" s="7"/>
      <c r="S15" s="346" t="s">
        <v>176</v>
      </c>
      <c r="T15" s="250">
        <f>AG15/12</f>
        <v>100.28333333333335</v>
      </c>
      <c r="U15" s="250">
        <v>100.28</v>
      </c>
      <c r="V15" s="250">
        <v>100.28</v>
      </c>
      <c r="W15" s="250">
        <v>100.28</v>
      </c>
      <c r="X15" s="250">
        <v>100.28</v>
      </c>
      <c r="Y15" s="250">
        <v>100.28</v>
      </c>
      <c r="Z15" s="250">
        <v>100.28</v>
      </c>
      <c r="AA15" s="250">
        <v>100.28</v>
      </c>
      <c r="AB15" s="250">
        <v>100.28</v>
      </c>
      <c r="AC15" s="250">
        <v>100.28</v>
      </c>
      <c r="AD15" s="250">
        <v>100.28</v>
      </c>
      <c r="AE15" s="250">
        <f>100.28+0.04</f>
        <v>100.32000000000001</v>
      </c>
      <c r="AF15" s="348">
        <f t="shared" si="7"/>
        <v>1203.4033333333332</v>
      </c>
      <c r="AG15" s="348">
        <f t="shared" si="8"/>
        <v>1203.4000000000001</v>
      </c>
      <c r="AH15" s="337">
        <v>1094</v>
      </c>
      <c r="AI15" s="349"/>
    </row>
    <row r="16" spans="1:35" ht="15" x14ac:dyDescent="0.25">
      <c r="R16" s="7"/>
      <c r="S16" s="346" t="s">
        <v>153</v>
      </c>
      <c r="T16" s="250">
        <f>(AG16/12)-50</f>
        <v>175.5916666666667</v>
      </c>
      <c r="U16" s="250">
        <f>(225.59)-80</f>
        <v>145.59</v>
      </c>
      <c r="V16" s="250">
        <f>(225.59)-20</f>
        <v>205.59</v>
      </c>
      <c r="W16" s="250">
        <f>(225.59)+25</f>
        <v>250.59</v>
      </c>
      <c r="X16" s="250">
        <f>(225.59)+50-8.98</f>
        <v>266.61</v>
      </c>
      <c r="Y16" s="250">
        <f>(225.59)+60</f>
        <v>285.59000000000003</v>
      </c>
      <c r="Z16" s="250">
        <f>(225.59)+28</f>
        <v>253.59</v>
      </c>
      <c r="AA16" s="250">
        <f>(225.59)+26</f>
        <v>251.59</v>
      </c>
      <c r="AB16" s="250">
        <f>(225.59)-7</f>
        <v>218.59</v>
      </c>
      <c r="AC16" s="250">
        <f>(225.59)-18</f>
        <v>207.59</v>
      </c>
      <c r="AD16" s="250">
        <f>(225.59)+5</f>
        <v>230.59</v>
      </c>
      <c r="AE16" s="250">
        <f>(225.59)-10</f>
        <v>215.59</v>
      </c>
      <c r="AF16" s="348">
        <f t="shared" si="7"/>
        <v>2707.1016666666674</v>
      </c>
      <c r="AG16" s="348">
        <f t="shared" si="8"/>
        <v>2707.1000000000004</v>
      </c>
      <c r="AH16" s="337">
        <v>2461</v>
      </c>
      <c r="AI16" s="349" t="s">
        <v>304</v>
      </c>
    </row>
    <row r="17" spans="1:45" ht="18.75" x14ac:dyDescent="0.3">
      <c r="A17" s="377" t="s">
        <v>321</v>
      </c>
      <c r="R17" s="7"/>
      <c r="S17" s="346" t="s">
        <v>147</v>
      </c>
      <c r="T17" s="250">
        <f>(AG17/12)-8</f>
        <v>151.40833333333333</v>
      </c>
      <c r="U17" s="250">
        <f>(159.41)-15</f>
        <v>144.41</v>
      </c>
      <c r="V17" s="250">
        <f>(159.41)+12</f>
        <v>171.41</v>
      </c>
      <c r="W17" s="250">
        <f>(159.41)+31</f>
        <v>190.41</v>
      </c>
      <c r="X17" s="250">
        <f>(159.41)+15</f>
        <v>174.41</v>
      </c>
      <c r="Y17" s="250">
        <f>(159.41)+18</f>
        <v>177.41</v>
      </c>
      <c r="Z17" s="250">
        <f>(159.41)-9</f>
        <v>150.41</v>
      </c>
      <c r="AA17" s="250">
        <f>(159.41)-20</f>
        <v>139.41</v>
      </c>
      <c r="AB17" s="250">
        <f>(159.41)+15</f>
        <v>174.41</v>
      </c>
      <c r="AC17" s="250">
        <f>(159.41)+14</f>
        <v>173.41</v>
      </c>
      <c r="AD17" s="250">
        <f>(159.41)-23</f>
        <v>136.41</v>
      </c>
      <c r="AE17" s="250">
        <f>(159.41)-30-0.02</f>
        <v>129.38999999999999</v>
      </c>
      <c r="AF17" s="348">
        <f t="shared" si="7"/>
        <v>1912.8983333333335</v>
      </c>
      <c r="AG17" s="348">
        <f t="shared" si="8"/>
        <v>1912.9</v>
      </c>
      <c r="AH17" s="337">
        <v>1739</v>
      </c>
      <c r="AI17" s="349"/>
    </row>
    <row r="18" spans="1:45" ht="15" x14ac:dyDescent="0.25">
      <c r="R18" s="7"/>
      <c r="S18" s="372" t="s">
        <v>210</v>
      </c>
      <c r="T18" s="250">
        <f>(AG18/12)-80</f>
        <v>195.00000000000006</v>
      </c>
      <c r="U18" s="250">
        <f>(275)-65</f>
        <v>210</v>
      </c>
      <c r="V18" s="250">
        <f>(275)+7</f>
        <v>282</v>
      </c>
      <c r="W18" s="250">
        <f>(275)+13</f>
        <v>288</v>
      </c>
      <c r="X18" s="250">
        <f>(275)+31-14</f>
        <v>292</v>
      </c>
      <c r="Y18" s="250">
        <f>(275)+50</f>
        <v>325</v>
      </c>
      <c r="Z18" s="250">
        <f>(275)+27</f>
        <v>302</v>
      </c>
      <c r="AA18" s="250">
        <f>(275)+14</f>
        <v>289</v>
      </c>
      <c r="AB18" s="250">
        <f>(275)+9</f>
        <v>284</v>
      </c>
      <c r="AC18" s="250">
        <f>(275)+5</f>
        <v>280</v>
      </c>
      <c r="AD18" s="250">
        <f>(275)+3</f>
        <v>278</v>
      </c>
      <c r="AE18" s="250">
        <v>275</v>
      </c>
      <c r="AF18" s="348">
        <f t="shared" si="7"/>
        <v>3300</v>
      </c>
      <c r="AG18" s="348">
        <f t="shared" si="8"/>
        <v>3300.0000000000005</v>
      </c>
      <c r="AH18" s="337">
        <v>3000</v>
      </c>
      <c r="AI18" s="349"/>
    </row>
    <row r="19" spans="1:45" ht="15" x14ac:dyDescent="0.25">
      <c r="O19" s="10"/>
      <c r="Q19" s="10"/>
      <c r="R19" s="7"/>
      <c r="S19" s="346" t="s">
        <v>4</v>
      </c>
      <c r="T19" s="250">
        <f>(AG19/12)-350</f>
        <v>468.2166666666667</v>
      </c>
      <c r="U19" s="250">
        <f>(818.22)-180</f>
        <v>638.22</v>
      </c>
      <c r="V19" s="250">
        <f>(818.22)+58</f>
        <v>876.22</v>
      </c>
      <c r="W19" s="250">
        <f>(818.22)+89</f>
        <v>907.22</v>
      </c>
      <c r="X19" s="250">
        <f>(818.22)+131</f>
        <v>949.22</v>
      </c>
      <c r="Y19" s="250">
        <f>(818.22)+268</f>
        <v>1086.22</v>
      </c>
      <c r="Z19" s="250">
        <f>(818.22)+40</f>
        <v>858.22</v>
      </c>
      <c r="AA19" s="250">
        <f>(818.22)+160</f>
        <v>978.22</v>
      </c>
      <c r="AB19" s="250">
        <f>(818.22)+110</f>
        <v>928.22</v>
      </c>
      <c r="AC19" s="250">
        <f>(818.22)-136</f>
        <v>682.22</v>
      </c>
      <c r="AD19" s="250">
        <f>(818.22)-110</f>
        <v>708.22</v>
      </c>
      <c r="AE19" s="250">
        <f>(818.22)-80-0.04</f>
        <v>738.18000000000006</v>
      </c>
      <c r="AF19" s="348">
        <f t="shared" si="7"/>
        <v>9818.5966666666682</v>
      </c>
      <c r="AG19" s="348">
        <f t="shared" si="8"/>
        <v>9818.6</v>
      </c>
      <c r="AH19" s="337">
        <v>8926</v>
      </c>
      <c r="AI19" s="349"/>
    </row>
    <row r="20" spans="1:45" ht="15" x14ac:dyDescent="0.25">
      <c r="Q20" s="10"/>
      <c r="R20" s="7"/>
      <c r="S20" s="346" t="s">
        <v>156</v>
      </c>
      <c r="T20" s="250">
        <f>(AG20/12)+97</f>
        <v>1797.325</v>
      </c>
      <c r="U20" s="250">
        <f>(1700.33)+145</f>
        <v>1845.33</v>
      </c>
      <c r="V20" s="250">
        <f>(1700.33)+90</f>
        <v>1790.33</v>
      </c>
      <c r="W20" s="250">
        <f>(1700.33)-29</f>
        <v>1671.33</v>
      </c>
      <c r="X20" s="250">
        <f>(1700.33)-150</f>
        <v>1550.33</v>
      </c>
      <c r="Y20" s="250">
        <f>(1700.33)-448</f>
        <v>1252.33</v>
      </c>
      <c r="Z20" s="250">
        <f>(1700.33)+75</f>
        <v>1775.33</v>
      </c>
      <c r="AA20" s="250">
        <f>(1700.33)+13</f>
        <v>1713.33</v>
      </c>
      <c r="AB20" s="250">
        <f>(1700.33)+134</f>
        <v>1834.33</v>
      </c>
      <c r="AC20" s="250">
        <f>(1700.33)+189</f>
        <v>1889.33</v>
      </c>
      <c r="AD20" s="250">
        <f>(1700.33)+112</f>
        <v>1812.33</v>
      </c>
      <c r="AE20" s="250">
        <f>(1700.33)-228-0.06</f>
        <v>1472.27</v>
      </c>
      <c r="AF20" s="348">
        <f t="shared" si="7"/>
        <v>20403.895</v>
      </c>
      <c r="AG20" s="348">
        <f t="shared" si="8"/>
        <v>20403.900000000001</v>
      </c>
      <c r="AH20" s="337">
        <v>18549</v>
      </c>
      <c r="AI20" s="349"/>
    </row>
    <row r="21" spans="1:45" x14ac:dyDescent="0.3">
      <c r="O21" s="10"/>
      <c r="P21" s="10"/>
      <c r="R21" s="7"/>
      <c r="S21" s="346" t="s">
        <v>3</v>
      </c>
      <c r="T21" s="250">
        <f t="shared" ref="T21" si="9">AG21/12</f>
        <v>213.4</v>
      </c>
      <c r="U21" s="250">
        <f t="shared" ref="U21:AE45" si="10">T21</f>
        <v>213.4</v>
      </c>
      <c r="V21" s="250">
        <f t="shared" si="10"/>
        <v>213.4</v>
      </c>
      <c r="W21" s="250">
        <f t="shared" si="10"/>
        <v>213.4</v>
      </c>
      <c r="X21" s="250">
        <f t="shared" si="10"/>
        <v>213.4</v>
      </c>
      <c r="Y21" s="250">
        <f t="shared" si="10"/>
        <v>213.4</v>
      </c>
      <c r="Z21" s="250">
        <f t="shared" si="10"/>
        <v>213.4</v>
      </c>
      <c r="AA21" s="250">
        <f t="shared" si="10"/>
        <v>213.4</v>
      </c>
      <c r="AB21" s="250">
        <f t="shared" si="10"/>
        <v>213.4</v>
      </c>
      <c r="AC21" s="250">
        <f t="shared" si="10"/>
        <v>213.4</v>
      </c>
      <c r="AD21" s="250">
        <f t="shared" si="10"/>
        <v>213.4</v>
      </c>
      <c r="AE21" s="250">
        <f t="shared" si="10"/>
        <v>213.4</v>
      </c>
      <c r="AF21" s="348">
        <f t="shared" si="7"/>
        <v>2560.8000000000006</v>
      </c>
      <c r="AG21" s="348">
        <f t="shared" si="8"/>
        <v>2560.8000000000002</v>
      </c>
      <c r="AH21" s="337">
        <v>2328</v>
      </c>
      <c r="AI21" s="349"/>
    </row>
    <row r="22" spans="1:45" x14ac:dyDescent="0.3">
      <c r="Q22" s="10"/>
      <c r="R22" s="7"/>
      <c r="S22" s="346" t="s">
        <v>168</v>
      </c>
      <c r="T22" s="250">
        <f>(AG22/12)+18</f>
        <v>917.61666666666679</v>
      </c>
      <c r="U22" s="250">
        <f>(899.62)+13</f>
        <v>912.62</v>
      </c>
      <c r="V22" s="250">
        <f>(899.62)+45</f>
        <v>944.62</v>
      </c>
      <c r="W22" s="250">
        <f>(899.62)-23</f>
        <v>876.62</v>
      </c>
      <c r="X22" s="250">
        <f>(899.62)+9</f>
        <v>908.62</v>
      </c>
      <c r="Y22" s="250">
        <f>(899.62)-4</f>
        <v>895.62</v>
      </c>
      <c r="Z22" s="250">
        <f>(899.62)+24</f>
        <v>923.62</v>
      </c>
      <c r="AA22" s="250">
        <f>(899.62)-44</f>
        <v>855.62</v>
      </c>
      <c r="AB22" s="250">
        <f>(899.62)+11</f>
        <v>910.62</v>
      </c>
      <c r="AC22" s="250">
        <f>(899.62)+8</f>
        <v>907.62</v>
      </c>
      <c r="AD22" s="250">
        <f>(899.62)-12</f>
        <v>887.62</v>
      </c>
      <c r="AE22" s="250">
        <f>(899.62)-45-0.04</f>
        <v>854.58</v>
      </c>
      <c r="AF22" s="348">
        <f t="shared" si="7"/>
        <v>10795.396666666667</v>
      </c>
      <c r="AG22" s="348">
        <f t="shared" si="8"/>
        <v>10795.400000000001</v>
      </c>
      <c r="AH22" s="337">
        <v>9814</v>
      </c>
      <c r="AI22" s="349"/>
    </row>
    <row r="23" spans="1:45" x14ac:dyDescent="0.3">
      <c r="P23" s="10"/>
      <c r="Q23" s="10"/>
      <c r="R23" s="7"/>
      <c r="S23" s="346" t="s">
        <v>169</v>
      </c>
      <c r="T23" s="250">
        <f>(AG23/12)-35</f>
        <v>59.783333333333346</v>
      </c>
      <c r="U23" s="250">
        <f>(94.78)-14</f>
        <v>80.78</v>
      </c>
      <c r="V23" s="250">
        <f>(94.78)+5</f>
        <v>99.78</v>
      </c>
      <c r="W23" s="250">
        <f>(94.78)+11.04</f>
        <v>105.82</v>
      </c>
      <c r="X23" s="250">
        <f>(94.78)+15</f>
        <v>109.78</v>
      </c>
      <c r="Y23" s="250">
        <f>(94.78)+25</f>
        <v>119.78</v>
      </c>
      <c r="Z23" s="250">
        <f>(94.78)+18</f>
        <v>112.78</v>
      </c>
      <c r="AA23" s="250">
        <f>(94.78)+11</f>
        <v>105.78</v>
      </c>
      <c r="AB23" s="250">
        <f>(94.78)+5</f>
        <v>99.78</v>
      </c>
      <c r="AC23" s="250">
        <f>(94.78)-8</f>
        <v>86.78</v>
      </c>
      <c r="AD23" s="250">
        <f>(94.78)-11</f>
        <v>83.78</v>
      </c>
      <c r="AE23" s="250">
        <f>(94.78)-22</f>
        <v>72.78</v>
      </c>
      <c r="AF23" s="348">
        <f t="shared" si="7"/>
        <v>1137.4033333333332</v>
      </c>
      <c r="AG23" s="348">
        <f t="shared" si="8"/>
        <v>1137.4000000000001</v>
      </c>
      <c r="AH23" s="337">
        <v>1034</v>
      </c>
      <c r="AI23" s="349" t="s">
        <v>305</v>
      </c>
      <c r="AM23" t="s">
        <v>306</v>
      </c>
      <c r="AS23" t="s">
        <v>307</v>
      </c>
    </row>
    <row r="24" spans="1:45" x14ac:dyDescent="0.3">
      <c r="Q24" s="10"/>
      <c r="R24" s="7"/>
      <c r="S24" s="346" t="s">
        <v>24</v>
      </c>
      <c r="T24" s="250">
        <f>(AG24/12)-75</f>
        <v>595.90833333333342</v>
      </c>
      <c r="U24" s="250">
        <f>(670.91)+110</f>
        <v>780.91</v>
      </c>
      <c r="V24" s="250">
        <f>(670.91)-12</f>
        <v>658.91</v>
      </c>
      <c r="W24" s="250">
        <f>(670.91)+45</f>
        <v>715.91</v>
      </c>
      <c r="X24" s="250">
        <f>(670.91)+67</f>
        <v>737.91</v>
      </c>
      <c r="Y24" s="250">
        <f>(670.91)-76</f>
        <v>594.91</v>
      </c>
      <c r="Z24" s="250">
        <f>(670.91)+132</f>
        <v>802.91</v>
      </c>
      <c r="AA24" s="250">
        <f>(670.91)-234</f>
        <v>436.90999999999997</v>
      </c>
      <c r="AB24" s="250">
        <f>(670.91)+321</f>
        <v>991.91</v>
      </c>
      <c r="AC24" s="250">
        <f>(670.91)-419</f>
        <v>251.90999999999997</v>
      </c>
      <c r="AD24" s="250">
        <f>(670.91)+54</f>
        <v>724.91</v>
      </c>
      <c r="AE24" s="250">
        <f>(670.91)+87-0.02</f>
        <v>757.89</v>
      </c>
      <c r="AF24" s="348">
        <f t="shared" si="7"/>
        <v>8050.8983333333326</v>
      </c>
      <c r="AG24" s="348">
        <f t="shared" si="8"/>
        <v>8050.9000000000005</v>
      </c>
      <c r="AH24" s="337">
        <v>7319</v>
      </c>
      <c r="AI24" s="349"/>
    </row>
    <row r="25" spans="1:45" x14ac:dyDescent="0.3">
      <c r="Q25" s="10"/>
      <c r="R25" s="7"/>
      <c r="S25" s="346" t="s">
        <v>25</v>
      </c>
      <c r="T25" s="250">
        <f>(AG25/12)+58</f>
        <v>259.39166666666665</v>
      </c>
      <c r="U25" s="250">
        <f>(201.39)+23</f>
        <v>224.39</v>
      </c>
      <c r="V25" s="250">
        <f>(201.39)-59</f>
        <v>142.38999999999999</v>
      </c>
      <c r="W25" s="250">
        <f>(201.39)-101</f>
        <v>100.38999999999999</v>
      </c>
      <c r="X25" s="250">
        <f>(201.39)+45</f>
        <v>246.39</v>
      </c>
      <c r="Y25" s="250">
        <f>(201.39)+67</f>
        <v>268.39</v>
      </c>
      <c r="Z25" s="250">
        <f>(201.39)+23</f>
        <v>224.39</v>
      </c>
      <c r="AA25" s="250">
        <f>(201.39)-16</f>
        <v>185.39</v>
      </c>
      <c r="AB25" s="250">
        <f>(201.39)-8</f>
        <v>193.39</v>
      </c>
      <c r="AC25" s="250">
        <f>(201.39)+53</f>
        <v>254.39</v>
      </c>
      <c r="AD25" s="250">
        <f>(201.39)-79</f>
        <v>122.38999999999999</v>
      </c>
      <c r="AE25" s="250">
        <f>(201.39)-6+0.02</f>
        <v>195.41</v>
      </c>
      <c r="AF25" s="348">
        <f t="shared" si="7"/>
        <v>2416.7016666666659</v>
      </c>
      <c r="AG25" s="348">
        <f t="shared" si="8"/>
        <v>2416.7000000000003</v>
      </c>
      <c r="AH25" s="337">
        <v>2197</v>
      </c>
      <c r="AI25" s="349"/>
    </row>
    <row r="26" spans="1:45" x14ac:dyDescent="0.3">
      <c r="Q26" s="10"/>
      <c r="R26" s="7"/>
      <c r="S26" s="346" t="s">
        <v>159</v>
      </c>
      <c r="T26" s="250">
        <f>(AG26/12)-534</f>
        <v>709.45833333333348</v>
      </c>
      <c r="U26" s="250">
        <f>(1243.46)-424</f>
        <v>819.46</v>
      </c>
      <c r="V26" s="250">
        <f>(1243.46)+87</f>
        <v>1330.46</v>
      </c>
      <c r="W26" s="250">
        <f>(1243.46)+123</f>
        <v>1366.46</v>
      </c>
      <c r="X26" s="250">
        <f>(1243.46)+242</f>
        <v>1485.46</v>
      </c>
      <c r="Y26" s="250">
        <f>(1243.46)+445</f>
        <v>1688.46</v>
      </c>
      <c r="Z26" s="250">
        <f>(1243.46)+234</f>
        <v>1477.46</v>
      </c>
      <c r="AA26" s="250">
        <f>(1243.46)+123</f>
        <v>1366.46</v>
      </c>
      <c r="AB26" s="250">
        <f>(1243.46)-76</f>
        <v>1167.46</v>
      </c>
      <c r="AC26" s="250">
        <f>(1243.46)-234</f>
        <v>1009.46</v>
      </c>
      <c r="AD26" s="250">
        <f>(1243.46)-73</f>
        <v>1170.46</v>
      </c>
      <c r="AE26" s="250">
        <f>(1243.46)+87</f>
        <v>1330.46</v>
      </c>
      <c r="AF26" s="348">
        <f t="shared" si="7"/>
        <v>14921.51833333333</v>
      </c>
      <c r="AG26" s="348">
        <f t="shared" si="8"/>
        <v>14921.500000000002</v>
      </c>
      <c r="AH26" s="337">
        <v>13565</v>
      </c>
      <c r="AI26" s="349" t="s">
        <v>308</v>
      </c>
    </row>
    <row r="27" spans="1:45" x14ac:dyDescent="0.3">
      <c r="Q27" s="10"/>
      <c r="R27" s="7"/>
      <c r="S27" s="346" t="s">
        <v>160</v>
      </c>
      <c r="T27" s="250">
        <f>(AG27/12)-1234</f>
        <v>2784.9416666666671</v>
      </c>
      <c r="U27" s="250">
        <f>(4018.94)-1002</f>
        <v>3016.94</v>
      </c>
      <c r="V27" s="250">
        <f>(4018.94)-144</f>
        <v>3874.94</v>
      </c>
      <c r="W27" s="250">
        <f>(4018.94)+234</f>
        <v>4252.9400000000005</v>
      </c>
      <c r="X27" s="250">
        <f>(4018.94)+546-126.98</f>
        <v>4437.9600000000009</v>
      </c>
      <c r="Y27" s="250">
        <f>(4018.94)+1044</f>
        <v>5062.9400000000005</v>
      </c>
      <c r="Z27" s="250">
        <f>(4018.94)+576</f>
        <v>4594.9400000000005</v>
      </c>
      <c r="AA27" s="250">
        <f>(4018.94)+375</f>
        <v>4393.9400000000005</v>
      </c>
      <c r="AB27" s="250">
        <f>(4018.94)+32</f>
        <v>4050.94</v>
      </c>
      <c r="AC27" s="250">
        <f>(4018.94)-45</f>
        <v>3973.94</v>
      </c>
      <c r="AD27" s="250">
        <f>(4018.94)-125</f>
        <v>3893.94</v>
      </c>
      <c r="AE27" s="250">
        <f>(4018.94)-130</f>
        <v>3888.94</v>
      </c>
      <c r="AF27" s="348">
        <f t="shared" si="7"/>
        <v>48227.301666666681</v>
      </c>
      <c r="AG27" s="348">
        <f t="shared" si="8"/>
        <v>48227.3</v>
      </c>
      <c r="AH27" s="337">
        <v>43843</v>
      </c>
      <c r="AI27" s="349"/>
    </row>
    <row r="28" spans="1:45" x14ac:dyDescent="0.3">
      <c r="Q28" s="10"/>
      <c r="R28" s="7"/>
      <c r="S28" s="346" t="s">
        <v>167</v>
      </c>
      <c r="T28" s="250">
        <f>(AG28/12)-96</f>
        <v>294.68333333333339</v>
      </c>
      <c r="U28" s="250">
        <f>(390.68)+76</f>
        <v>466.68</v>
      </c>
      <c r="V28" s="250">
        <f>(390.68)+45</f>
        <v>435.68</v>
      </c>
      <c r="W28" s="250">
        <f>(390.68)+34</f>
        <v>424.68</v>
      </c>
      <c r="X28" s="250">
        <f>(390.68)-23</f>
        <v>367.68</v>
      </c>
      <c r="Y28" s="250">
        <f>(390.68)+123</f>
        <v>513.68000000000006</v>
      </c>
      <c r="Z28" s="250">
        <f>(390.68)-27</f>
        <v>363.68</v>
      </c>
      <c r="AA28" s="250">
        <f>(390.68)+13</f>
        <v>403.68</v>
      </c>
      <c r="AB28" s="250">
        <f>(390.68)-49</f>
        <v>341.68</v>
      </c>
      <c r="AC28" s="250">
        <f>(390.68)+20</f>
        <v>410.68</v>
      </c>
      <c r="AD28" s="250">
        <f>(390.68)+34</f>
        <v>424.68</v>
      </c>
      <c r="AE28" s="250">
        <f>(390.68)-150+0.04</f>
        <v>240.72</v>
      </c>
      <c r="AF28" s="348">
        <f t="shared" si="7"/>
        <v>4688.2033333333338</v>
      </c>
      <c r="AG28" s="348">
        <f t="shared" si="8"/>
        <v>4688.2000000000007</v>
      </c>
      <c r="AH28" s="337">
        <v>4262</v>
      </c>
      <c r="AI28" s="349"/>
    </row>
    <row r="29" spans="1:45" x14ac:dyDescent="0.3">
      <c r="Q29" s="10"/>
      <c r="R29" s="7"/>
      <c r="S29" s="350" t="s">
        <v>183</v>
      </c>
      <c r="T29" s="250">
        <f t="shared" ref="T29" si="11">AG29/12</f>
        <v>6513.833333333333</v>
      </c>
      <c r="U29" s="250">
        <f t="shared" ref="U29:AE29" si="12">T29</f>
        <v>6513.833333333333</v>
      </c>
      <c r="V29" s="250">
        <f t="shared" si="12"/>
        <v>6513.833333333333</v>
      </c>
      <c r="W29" s="250">
        <f t="shared" si="12"/>
        <v>6513.833333333333</v>
      </c>
      <c r="X29" s="250">
        <f t="shared" si="12"/>
        <v>6513.833333333333</v>
      </c>
      <c r="Y29" s="250">
        <f t="shared" si="12"/>
        <v>6513.833333333333</v>
      </c>
      <c r="Z29" s="250">
        <f t="shared" si="12"/>
        <v>6513.833333333333</v>
      </c>
      <c r="AA29" s="250">
        <f t="shared" si="12"/>
        <v>6513.833333333333</v>
      </c>
      <c r="AB29" s="250">
        <f t="shared" si="12"/>
        <v>6513.833333333333</v>
      </c>
      <c r="AC29" s="250">
        <f t="shared" si="12"/>
        <v>6513.833333333333</v>
      </c>
      <c r="AD29" s="250">
        <f t="shared" si="12"/>
        <v>6513.833333333333</v>
      </c>
      <c r="AE29" s="250">
        <f t="shared" si="12"/>
        <v>6513.833333333333</v>
      </c>
      <c r="AF29" s="348">
        <f t="shared" si="7"/>
        <v>78166</v>
      </c>
      <c r="AG29" s="333">
        <f t="shared" ref="AG29:AG33" si="13">AH29*1.1</f>
        <v>78166</v>
      </c>
      <c r="AH29" s="337">
        <v>71060</v>
      </c>
      <c r="AI29" s="349" t="s">
        <v>309</v>
      </c>
    </row>
    <row r="30" spans="1:45" x14ac:dyDescent="0.3">
      <c r="P30" s="236"/>
      <c r="Q30" s="10"/>
      <c r="R30" s="7"/>
      <c r="S30" s="346" t="s">
        <v>253</v>
      </c>
      <c r="T30" s="250">
        <f>(AG30/12)+34</f>
        <v>351.16666666666669</v>
      </c>
      <c r="U30" s="250">
        <f>(288.33)-45</f>
        <v>243.32999999999998</v>
      </c>
      <c r="V30" s="250">
        <f>(288.33)+18</f>
        <v>306.33</v>
      </c>
      <c r="W30" s="250">
        <f>(288.33)-8.8</f>
        <v>279.52999999999997</v>
      </c>
      <c r="X30" s="250">
        <f>(288.33)+54-4</f>
        <v>338.33</v>
      </c>
      <c r="Y30" s="250">
        <f>(288.33)-98-28</f>
        <v>162.32999999999998</v>
      </c>
      <c r="Z30" s="250">
        <f>(288.33)+87</f>
        <v>375.33</v>
      </c>
      <c r="AA30" s="250">
        <f>(288.33)+182</f>
        <v>470.33</v>
      </c>
      <c r="AB30" s="250">
        <f>(288.33)-29</f>
        <v>259.33</v>
      </c>
      <c r="AC30" s="250">
        <f>(288.33)+170</f>
        <v>458.33</v>
      </c>
      <c r="AD30" s="250">
        <f>(288.33)-78</f>
        <v>210.32999999999998</v>
      </c>
      <c r="AE30" s="250">
        <f>(288.33)+63</f>
        <v>351.33</v>
      </c>
      <c r="AF30" s="348">
        <f t="shared" si="7"/>
        <v>3805.996666666666</v>
      </c>
      <c r="AG30" s="333">
        <f t="shared" si="13"/>
        <v>3806.0000000000005</v>
      </c>
      <c r="AH30" s="337">
        <v>3460</v>
      </c>
      <c r="AI30" s="349"/>
    </row>
    <row r="31" spans="1:45" x14ac:dyDescent="0.3">
      <c r="Q31" s="10"/>
      <c r="R31" s="7"/>
      <c r="S31" s="346" t="s">
        <v>157</v>
      </c>
      <c r="T31" s="250">
        <f>(AG31/12)-87</f>
        <v>515.89166666666677</v>
      </c>
      <c r="U31" s="250">
        <f>(548.08)-76</f>
        <v>472.08000000000004</v>
      </c>
      <c r="V31" s="250">
        <f>(548.08)+165</f>
        <v>713.08</v>
      </c>
      <c r="W31" s="250">
        <f>(548.08)+43</f>
        <v>591.08000000000004</v>
      </c>
      <c r="X31" s="250">
        <f>(548.08)+223</f>
        <v>771.08</v>
      </c>
      <c r="Y31" s="250">
        <f>(548.08)-64</f>
        <v>484.08000000000004</v>
      </c>
      <c r="Z31" s="250">
        <f>(548.08)-17</f>
        <v>531.08000000000004</v>
      </c>
      <c r="AA31" s="250">
        <f>(548.08)-31</f>
        <v>517.08000000000004</v>
      </c>
      <c r="AB31" s="250">
        <f>(548.08)+308</f>
        <v>856.08</v>
      </c>
      <c r="AC31" s="250">
        <f>(548.08)+28+66</f>
        <v>642.08000000000004</v>
      </c>
      <c r="AD31" s="250">
        <f>(548.08)+143</f>
        <v>691.08</v>
      </c>
      <c r="AE31" s="250">
        <f>(548.08)-97.77+0.7-1</f>
        <v>450.01000000000005</v>
      </c>
      <c r="AF31" s="348">
        <f t="shared" si="7"/>
        <v>7234.7016666666668</v>
      </c>
      <c r="AG31" s="333">
        <f t="shared" si="13"/>
        <v>7234.7000000000007</v>
      </c>
      <c r="AH31" s="337">
        <v>6577</v>
      </c>
      <c r="AI31" s="7" t="s">
        <v>298</v>
      </c>
    </row>
    <row r="32" spans="1:45" x14ac:dyDescent="0.3">
      <c r="Q32" s="10"/>
      <c r="R32" s="7"/>
      <c r="S32" s="346" t="s">
        <v>55</v>
      </c>
      <c r="T32" s="250">
        <f>(AG32/12)+248</f>
        <v>584.6</v>
      </c>
      <c r="U32" s="250">
        <f>(306)-41</f>
        <v>265</v>
      </c>
      <c r="V32" s="250">
        <f>(306)+190</f>
        <v>496</v>
      </c>
      <c r="W32" s="250">
        <f>(306)-76</f>
        <v>230</v>
      </c>
      <c r="X32" s="250">
        <f>(306)+20</f>
        <v>326</v>
      </c>
      <c r="Y32" s="250">
        <f>(306)+28</f>
        <v>334</v>
      </c>
      <c r="Z32" s="250">
        <f>(306)+84</f>
        <v>390</v>
      </c>
      <c r="AA32" s="250">
        <f>(306)+17</f>
        <v>323</v>
      </c>
      <c r="AB32" s="250">
        <f>(306)-48.6</f>
        <v>257.39999999999998</v>
      </c>
      <c r="AC32" s="250">
        <f>(306)+27</f>
        <v>333</v>
      </c>
      <c r="AD32" s="250">
        <f>(306)-92</f>
        <v>214</v>
      </c>
      <c r="AE32" s="250">
        <f>(306)-20+0.2</f>
        <v>286.2</v>
      </c>
      <c r="AF32" s="348">
        <f t="shared" si="7"/>
        <v>4039.2</v>
      </c>
      <c r="AG32" s="333">
        <f t="shared" si="13"/>
        <v>4039.2000000000003</v>
      </c>
      <c r="AH32" s="337">
        <v>3672</v>
      </c>
      <c r="AI32" s="7" t="s">
        <v>297</v>
      </c>
    </row>
    <row r="33" spans="5:42" x14ac:dyDescent="0.3">
      <c r="Q33" s="10"/>
      <c r="R33" s="7"/>
      <c r="S33" s="351" t="s">
        <v>177</v>
      </c>
      <c r="T33" s="250">
        <f>(AG33/12)-79</f>
        <v>80.041666666666686</v>
      </c>
      <c r="U33" s="250">
        <f>(159.04)-26-50</f>
        <v>83.039999999999992</v>
      </c>
      <c r="V33" s="250">
        <f>(159.04)+14</f>
        <v>173.04</v>
      </c>
      <c r="W33" s="250">
        <f>(159.04)+27</f>
        <v>186.04</v>
      </c>
      <c r="X33" s="250">
        <f>(159.04)+34</f>
        <v>193.04</v>
      </c>
      <c r="Y33" s="250">
        <f>(159.04)+98</f>
        <v>257.03999999999996</v>
      </c>
      <c r="Z33" s="250">
        <f>(159.04)+65</f>
        <v>224.04</v>
      </c>
      <c r="AA33" s="250">
        <f>(159.04)+16+5</f>
        <v>180.04</v>
      </c>
      <c r="AB33" s="250">
        <f>(159.04)+9</f>
        <v>168.04</v>
      </c>
      <c r="AC33" s="250">
        <f>(159.04)-12.48</f>
        <v>146.56</v>
      </c>
      <c r="AD33" s="250">
        <f>(159.04)-44</f>
        <v>115.03999999999999</v>
      </c>
      <c r="AE33" s="250">
        <f>(159.04)-56+0.5-1</f>
        <v>102.53999999999999</v>
      </c>
      <c r="AF33" s="348">
        <f t="shared" si="7"/>
        <v>1908.5016666666663</v>
      </c>
      <c r="AG33" s="333">
        <f t="shared" si="13"/>
        <v>1908.5000000000002</v>
      </c>
      <c r="AH33" s="337">
        <v>1735</v>
      </c>
      <c r="AI33" s="349" t="s">
        <v>303</v>
      </c>
    </row>
    <row r="34" spans="5:42" x14ac:dyDescent="0.3">
      <c r="R34" s="7"/>
      <c r="S34" s="352" t="s">
        <v>132</v>
      </c>
      <c r="T34" s="250">
        <v>5000</v>
      </c>
      <c r="U34" s="250"/>
      <c r="V34" s="250"/>
      <c r="W34" s="250">
        <f>(SUM(T11:V11)/11)-(SUM(T13:V33)/11)</f>
        <v>27998.728325492521</v>
      </c>
      <c r="X34" s="250"/>
      <c r="Y34" s="250"/>
      <c r="Z34" s="250">
        <f>SUM(W11:Y11)/11-SUM(W13:Y33)/11</f>
        <v>20671.058023262391</v>
      </c>
      <c r="AA34" s="250"/>
      <c r="AB34" s="250"/>
      <c r="AC34" s="250">
        <f>SUM(Z11:AB11)/11-SUM(Z13:AB33)/11</f>
        <v>21496.847272604853</v>
      </c>
      <c r="AD34" s="250"/>
      <c r="AE34" s="250"/>
      <c r="AF34" s="348">
        <f t="shared" si="7"/>
        <v>75166.633621359768</v>
      </c>
      <c r="AG34" s="333">
        <f>AF34</f>
        <v>75166.633621359768</v>
      </c>
      <c r="AH34" s="337"/>
      <c r="AI34" s="349"/>
    </row>
    <row r="35" spans="5:42" x14ac:dyDescent="0.3">
      <c r="E35" s="298"/>
      <c r="R35" s="7"/>
      <c r="S35" s="350" t="s">
        <v>99</v>
      </c>
      <c r="T35" s="250">
        <f>AG35/26*3</f>
        <v>8076.9230769230771</v>
      </c>
      <c r="U35" s="250">
        <f>AG35/26*2</f>
        <v>5384.6153846153848</v>
      </c>
      <c r="V35" s="250">
        <f>AH35/26*2</f>
        <v>5384.6153846153848</v>
      </c>
      <c r="W35" s="250">
        <v>5384.62</v>
      </c>
      <c r="X35" s="250">
        <v>5384.62</v>
      </c>
      <c r="Y35" s="250">
        <v>5384.62</v>
      </c>
      <c r="Z35" s="250">
        <v>8076.92</v>
      </c>
      <c r="AA35" s="250">
        <v>5384.62</v>
      </c>
      <c r="AB35" s="250">
        <v>5384.62</v>
      </c>
      <c r="AC35" s="250">
        <v>5384.62</v>
      </c>
      <c r="AD35" s="250">
        <v>5384.62</v>
      </c>
      <c r="AE35" s="250">
        <f>5384.62-0.03</f>
        <v>5384.59</v>
      </c>
      <c r="AF35" s="348">
        <f t="shared" si="7"/>
        <v>70000.00384615385</v>
      </c>
      <c r="AG35" s="333">
        <f>AH35</f>
        <v>70000</v>
      </c>
      <c r="AH35" s="337">
        <v>70000</v>
      </c>
      <c r="AI35" s="349"/>
    </row>
    <row r="36" spans="5:42" x14ac:dyDescent="0.3">
      <c r="P36" s="277"/>
      <c r="R36" s="7"/>
      <c r="S36" s="350" t="s">
        <v>98</v>
      </c>
      <c r="T36" s="250">
        <f>AG36/26*3</f>
        <v>8076.9230769230771</v>
      </c>
      <c r="U36" s="250">
        <f>AG36/26*2</f>
        <v>5384.6153846153848</v>
      </c>
      <c r="V36" s="250">
        <f>AH36/26*2</f>
        <v>5384.6153846153848</v>
      </c>
      <c r="W36" s="250">
        <v>5384.62</v>
      </c>
      <c r="X36" s="250">
        <v>5384.62</v>
      </c>
      <c r="Y36" s="250">
        <v>5384.62</v>
      </c>
      <c r="Z36" s="250">
        <v>8076.92</v>
      </c>
      <c r="AA36" s="250">
        <v>5384.62</v>
      </c>
      <c r="AB36" s="250">
        <v>5384.62</v>
      </c>
      <c r="AC36" s="250">
        <v>5384.62</v>
      </c>
      <c r="AD36" s="250">
        <v>5384.62</v>
      </c>
      <c r="AE36" s="250">
        <f>5384.62-0.03</f>
        <v>5384.59</v>
      </c>
      <c r="AF36" s="348">
        <f t="shared" si="7"/>
        <v>70000.00384615385</v>
      </c>
      <c r="AG36" s="333">
        <f t="shared" ref="AG36:AG45" si="14">AH36</f>
        <v>70000</v>
      </c>
      <c r="AH36" s="337">
        <v>70000</v>
      </c>
      <c r="AI36" s="349"/>
    </row>
    <row r="37" spans="5:42" x14ac:dyDescent="0.3">
      <c r="P37" s="35"/>
      <c r="R37" s="7"/>
      <c r="S37" s="347" t="s">
        <v>57</v>
      </c>
      <c r="T37" s="250">
        <v>10961.65</v>
      </c>
      <c r="U37" s="250">
        <v>7307.77</v>
      </c>
      <c r="V37" s="250">
        <v>7307.77</v>
      </c>
      <c r="W37" s="250">
        <v>7307.77</v>
      </c>
      <c r="X37" s="250">
        <v>7307.77</v>
      </c>
      <c r="Y37" s="250">
        <v>7307.77</v>
      </c>
      <c r="Z37" s="250">
        <v>10961.65</v>
      </c>
      <c r="AA37" s="250">
        <v>7307.77</v>
      </c>
      <c r="AB37" s="250">
        <v>7307.77</v>
      </c>
      <c r="AC37" s="250">
        <v>7307.77</v>
      </c>
      <c r="AD37" s="250">
        <v>7307.77</v>
      </c>
      <c r="AE37" s="250">
        <v>7307.77</v>
      </c>
      <c r="AF37" s="348">
        <f t="shared" si="7"/>
        <v>95001.000000000015</v>
      </c>
      <c r="AG37" s="333">
        <f t="shared" si="14"/>
        <v>95001</v>
      </c>
      <c r="AH37" s="337">
        <v>95001</v>
      </c>
      <c r="AI37" s="349"/>
    </row>
    <row r="38" spans="5:42" x14ac:dyDescent="0.3">
      <c r="R38" s="7"/>
      <c r="S38" s="347" t="s">
        <v>58</v>
      </c>
      <c r="T38" s="250">
        <v>10576.85</v>
      </c>
      <c r="U38" s="343">
        <v>7051.23</v>
      </c>
      <c r="V38" s="343">
        <v>7051.23</v>
      </c>
      <c r="W38" s="343">
        <v>7051.23</v>
      </c>
      <c r="X38" s="343">
        <v>7051.23</v>
      </c>
      <c r="Y38" s="343">
        <v>7051.23</v>
      </c>
      <c r="Z38" s="250">
        <v>10576.85</v>
      </c>
      <c r="AA38" s="343">
        <v>7051.23</v>
      </c>
      <c r="AB38" s="343">
        <v>7051.23</v>
      </c>
      <c r="AC38" s="343">
        <v>7051.23</v>
      </c>
      <c r="AD38" s="343">
        <v>7051.23</v>
      </c>
      <c r="AE38" s="343">
        <v>7051.23</v>
      </c>
      <c r="AF38" s="348">
        <f t="shared" si="7"/>
        <v>91665.999999999985</v>
      </c>
      <c r="AG38" s="333">
        <f t="shared" si="14"/>
        <v>91666</v>
      </c>
      <c r="AH38" s="337">
        <v>91666</v>
      </c>
      <c r="AI38" s="349"/>
    </row>
    <row r="39" spans="5:42" x14ac:dyDescent="0.3">
      <c r="R39" s="7"/>
      <c r="S39" s="347" t="s">
        <v>59</v>
      </c>
      <c r="T39" s="250">
        <v>7307.65</v>
      </c>
      <c r="U39" s="250">
        <v>4871.7700000000004</v>
      </c>
      <c r="V39" s="250">
        <v>4871.7700000000004</v>
      </c>
      <c r="W39" s="250">
        <v>4871.7700000000004</v>
      </c>
      <c r="X39" s="250">
        <v>4871.7700000000004</v>
      </c>
      <c r="Y39" s="250">
        <v>4871.7700000000004</v>
      </c>
      <c r="Z39" s="250">
        <v>7307.65</v>
      </c>
      <c r="AA39" s="250">
        <v>4871.7700000000004</v>
      </c>
      <c r="AB39" s="250">
        <v>4871.7700000000004</v>
      </c>
      <c r="AC39" s="250">
        <v>4871.7700000000004</v>
      </c>
      <c r="AD39" s="250">
        <v>4871.7700000000004</v>
      </c>
      <c r="AE39" s="250">
        <v>4871.7700000000004</v>
      </c>
      <c r="AF39" s="348">
        <f t="shared" si="7"/>
        <v>63333.000000000015</v>
      </c>
      <c r="AG39" s="333">
        <f t="shared" si="14"/>
        <v>63333</v>
      </c>
      <c r="AH39" s="337">
        <v>63333</v>
      </c>
      <c r="AI39" s="349"/>
    </row>
    <row r="40" spans="5:42" x14ac:dyDescent="0.3">
      <c r="R40" s="7"/>
      <c r="S40" s="347" t="s">
        <v>60</v>
      </c>
      <c r="T40" s="250">
        <v>2205.81</v>
      </c>
      <c r="U40" s="250">
        <v>1470.54</v>
      </c>
      <c r="V40" s="250">
        <v>1470.54</v>
      </c>
      <c r="W40" s="250">
        <v>1470.54</v>
      </c>
      <c r="X40" s="250">
        <v>1470.54</v>
      </c>
      <c r="Y40" s="250">
        <v>1470.54</v>
      </c>
      <c r="Z40" s="250">
        <v>2205.81</v>
      </c>
      <c r="AA40" s="250">
        <v>1470.54</v>
      </c>
      <c r="AB40" s="250">
        <v>1470.54</v>
      </c>
      <c r="AC40" s="250">
        <v>1470.54</v>
      </c>
      <c r="AD40" s="250">
        <v>1470.54</v>
      </c>
      <c r="AE40" s="250">
        <v>1470.54</v>
      </c>
      <c r="AF40" s="348">
        <f t="shared" si="7"/>
        <v>19117.02</v>
      </c>
      <c r="AG40" s="333">
        <f t="shared" si="14"/>
        <v>19117</v>
      </c>
      <c r="AH40" s="337">
        <v>19117</v>
      </c>
      <c r="AI40" s="349"/>
      <c r="AJ40" s="35"/>
    </row>
    <row r="41" spans="5:42" x14ac:dyDescent="0.3">
      <c r="R41" s="7"/>
      <c r="S41" s="347" t="s">
        <v>184</v>
      </c>
      <c r="T41" s="250">
        <f>SUM(T35:T40)*0.09</f>
        <v>4248.5225538461536</v>
      </c>
      <c r="U41" s="250">
        <f t="shared" ref="U41:AE41" si="15">SUM(U35:U40)*0.09</f>
        <v>2832.3486692307692</v>
      </c>
      <c r="V41" s="250">
        <f t="shared" si="15"/>
        <v>2832.3486692307692</v>
      </c>
      <c r="W41" s="250">
        <f t="shared" si="15"/>
        <v>2832.3495000000003</v>
      </c>
      <c r="X41" s="250">
        <f t="shared" si="15"/>
        <v>2832.3495000000003</v>
      </c>
      <c r="Y41" s="250">
        <f t="shared" si="15"/>
        <v>2832.3495000000003</v>
      </c>
      <c r="Z41" s="250">
        <f t="shared" si="15"/>
        <v>4248.521999999999</v>
      </c>
      <c r="AA41" s="250">
        <f t="shared" si="15"/>
        <v>2832.3495000000003</v>
      </c>
      <c r="AB41" s="250">
        <f t="shared" si="15"/>
        <v>2832.3495000000003</v>
      </c>
      <c r="AC41" s="250">
        <f t="shared" si="15"/>
        <v>2832.3495000000003</v>
      </c>
      <c r="AD41" s="250">
        <f t="shared" si="15"/>
        <v>2832.3495000000003</v>
      </c>
      <c r="AE41" s="250">
        <f t="shared" si="15"/>
        <v>2832.3441000000003</v>
      </c>
      <c r="AF41" s="348">
        <f>SUM(T41:AE41)</f>
        <v>36820.532492307691</v>
      </c>
      <c r="AG41" s="333">
        <f>AH41</f>
        <v>36820.53</v>
      </c>
      <c r="AH41" s="359">
        <f>SUM(AH35:AH40)*0.09</f>
        <v>36820.53</v>
      </c>
      <c r="AI41" s="349"/>
      <c r="AJ41" s="35"/>
    </row>
    <row r="42" spans="5:42" s="7" customFormat="1" x14ac:dyDescent="0.3">
      <c r="S42" s="347" t="s">
        <v>23</v>
      </c>
      <c r="T42" s="250">
        <f>SUM(T35:T41)*0.0175</f>
        <v>900.4507523846155</v>
      </c>
      <c r="U42" s="250">
        <f t="shared" ref="U42:AE42" si="16">SUM(U35:U41)*0.0175</f>
        <v>600.30056517307708</v>
      </c>
      <c r="V42" s="250">
        <f t="shared" si="16"/>
        <v>600.30056517307708</v>
      </c>
      <c r="W42" s="250">
        <f t="shared" si="16"/>
        <v>600.3007412500001</v>
      </c>
      <c r="X42" s="250">
        <f t="shared" si="16"/>
        <v>600.3007412500001</v>
      </c>
      <c r="Y42" s="250">
        <f t="shared" si="16"/>
        <v>600.3007412500001</v>
      </c>
      <c r="Z42" s="250">
        <f t="shared" si="16"/>
        <v>900.45063499999992</v>
      </c>
      <c r="AA42" s="250">
        <f t="shared" si="16"/>
        <v>600.3007412500001</v>
      </c>
      <c r="AB42" s="250">
        <f t="shared" si="16"/>
        <v>600.3007412500001</v>
      </c>
      <c r="AC42" s="250">
        <f t="shared" si="16"/>
        <v>600.3007412500001</v>
      </c>
      <c r="AD42" s="250">
        <f t="shared" si="16"/>
        <v>600.3007412500001</v>
      </c>
      <c r="AE42" s="250">
        <f t="shared" si="16"/>
        <v>600.29959675000009</v>
      </c>
      <c r="AF42" s="348">
        <f>SUM(T42:AE42)</f>
        <v>7803.9073032307706</v>
      </c>
      <c r="AG42" s="333">
        <f t="shared" si="14"/>
        <v>7804</v>
      </c>
      <c r="AH42" s="337">
        <v>7804</v>
      </c>
      <c r="AI42" s="349" t="s">
        <v>302</v>
      </c>
      <c r="AP42" s="7" t="s">
        <v>316</v>
      </c>
    </row>
    <row r="43" spans="5:42" x14ac:dyDescent="0.3">
      <c r="Q43" s="10"/>
      <c r="R43" s="7"/>
      <c r="S43" s="347" t="s">
        <v>149</v>
      </c>
      <c r="T43" s="250">
        <f>(AG43/12)-189</f>
        <v>144.33333333333331</v>
      </c>
      <c r="U43" s="250">
        <f>(333.33)-99</f>
        <v>234.32999999999998</v>
      </c>
      <c r="V43" s="250">
        <f>(333.33)+13</f>
        <v>346.33</v>
      </c>
      <c r="W43" s="250">
        <f>(333.33)+56</f>
        <v>389.33</v>
      </c>
      <c r="X43" s="250">
        <f>(333.33)+88</f>
        <v>421.33</v>
      </c>
      <c r="Y43" s="250">
        <f>(333.33)+108</f>
        <v>441.33</v>
      </c>
      <c r="Z43" s="250">
        <f>(333.33)+45</f>
        <v>378.33</v>
      </c>
      <c r="AA43" s="250">
        <f>(333.33)+13</f>
        <v>346.33</v>
      </c>
      <c r="AB43" s="250">
        <f>(333.33)-9</f>
        <v>324.33</v>
      </c>
      <c r="AC43" s="250">
        <f>(333.33)-13</f>
        <v>320.33</v>
      </c>
      <c r="AD43" s="250">
        <f>(333.33)-12</f>
        <v>321.33</v>
      </c>
      <c r="AE43" s="250">
        <f>(333.33)-0.96</f>
        <v>332.37</v>
      </c>
      <c r="AF43" s="348">
        <f t="shared" si="7"/>
        <v>4000.0033333333326</v>
      </c>
      <c r="AG43" s="333">
        <f t="shared" si="14"/>
        <v>4000</v>
      </c>
      <c r="AH43" s="337">
        <v>4000</v>
      </c>
      <c r="AI43" s="349" t="s">
        <v>299</v>
      </c>
    </row>
    <row r="44" spans="5:42" x14ac:dyDescent="0.3">
      <c r="R44" s="7"/>
      <c r="S44" s="347" t="s">
        <v>61</v>
      </c>
      <c r="T44" s="250">
        <v>18076.849999999999</v>
      </c>
      <c r="U44" s="250">
        <v>12051.23</v>
      </c>
      <c r="V44" s="250">
        <f t="shared" ref="V44:AE44" si="17">U44</f>
        <v>12051.23</v>
      </c>
      <c r="W44" s="250">
        <f t="shared" si="17"/>
        <v>12051.23</v>
      </c>
      <c r="X44" s="250">
        <f t="shared" si="17"/>
        <v>12051.23</v>
      </c>
      <c r="Y44" s="250">
        <f t="shared" si="17"/>
        <v>12051.23</v>
      </c>
      <c r="Z44" s="250">
        <v>18076.849999999999</v>
      </c>
      <c r="AA44" s="250">
        <v>12051.23</v>
      </c>
      <c r="AB44" s="250">
        <f t="shared" si="17"/>
        <v>12051.23</v>
      </c>
      <c r="AC44" s="250">
        <f t="shared" si="17"/>
        <v>12051.23</v>
      </c>
      <c r="AD44" s="250">
        <f t="shared" si="17"/>
        <v>12051.23</v>
      </c>
      <c r="AE44" s="250">
        <f t="shared" si="17"/>
        <v>12051.23</v>
      </c>
      <c r="AF44" s="348">
        <f t="shared" si="7"/>
        <v>156666</v>
      </c>
      <c r="AG44" s="333">
        <f t="shared" si="14"/>
        <v>156666</v>
      </c>
      <c r="AH44" s="337">
        <v>156666</v>
      </c>
      <c r="AI44" s="349" t="s">
        <v>301</v>
      </c>
    </row>
    <row r="45" spans="5:42" x14ac:dyDescent="0.3">
      <c r="R45" s="7"/>
      <c r="S45" s="347" t="s">
        <v>62</v>
      </c>
      <c r="T45" s="250">
        <v>1626.93</v>
      </c>
      <c r="U45" s="250">
        <v>1084.5899999999999</v>
      </c>
      <c r="V45" s="250">
        <f t="shared" si="10"/>
        <v>1084.5899999999999</v>
      </c>
      <c r="W45" s="250">
        <f t="shared" si="10"/>
        <v>1084.5899999999999</v>
      </c>
      <c r="X45" s="250">
        <f t="shared" si="10"/>
        <v>1084.5899999999999</v>
      </c>
      <c r="Y45" s="250">
        <f t="shared" si="10"/>
        <v>1084.5899999999999</v>
      </c>
      <c r="Z45" s="250">
        <v>1626.93</v>
      </c>
      <c r="AA45" s="250">
        <v>1084.5899999999999</v>
      </c>
      <c r="AB45" s="250">
        <f t="shared" ref="AB45:AC45" si="18">AA45</f>
        <v>1084.5899999999999</v>
      </c>
      <c r="AC45" s="250">
        <f t="shared" si="18"/>
        <v>1084.5899999999999</v>
      </c>
      <c r="AD45" s="250">
        <f t="shared" ref="AD45:AE45" si="19">AC45</f>
        <v>1084.5899999999999</v>
      </c>
      <c r="AE45" s="250">
        <f t="shared" si="19"/>
        <v>1084.5899999999999</v>
      </c>
      <c r="AF45" s="348">
        <f t="shared" si="7"/>
        <v>14099.76</v>
      </c>
      <c r="AG45" s="333">
        <f t="shared" si="14"/>
        <v>14099.939999999999</v>
      </c>
      <c r="AH45" s="337">
        <f>AH44*0.09</f>
        <v>14099.939999999999</v>
      </c>
      <c r="AI45" s="349"/>
    </row>
    <row r="46" spans="5:42" s="7" customFormat="1" x14ac:dyDescent="0.3">
      <c r="S46" s="347" t="s">
        <v>23</v>
      </c>
      <c r="T46" s="250">
        <f>SUM(T44:T45)*0.0175</f>
        <v>344.81614999999999</v>
      </c>
      <c r="U46" s="250">
        <f t="shared" ref="U46:AE46" si="20">SUM(U44:U45)*0.0175</f>
        <v>229.87685000000002</v>
      </c>
      <c r="V46" s="250">
        <f t="shared" si="20"/>
        <v>229.87685000000002</v>
      </c>
      <c r="W46" s="250">
        <f t="shared" si="20"/>
        <v>229.87685000000002</v>
      </c>
      <c r="X46" s="250">
        <f t="shared" si="20"/>
        <v>229.87685000000002</v>
      </c>
      <c r="Y46" s="250">
        <f t="shared" si="20"/>
        <v>229.87685000000002</v>
      </c>
      <c r="Z46" s="250">
        <f t="shared" si="20"/>
        <v>344.81614999999999</v>
      </c>
      <c r="AA46" s="250">
        <f t="shared" si="20"/>
        <v>229.87685000000002</v>
      </c>
      <c r="AB46" s="250">
        <f t="shared" si="20"/>
        <v>229.87685000000002</v>
      </c>
      <c r="AC46" s="250">
        <f t="shared" si="20"/>
        <v>229.87685000000002</v>
      </c>
      <c r="AD46" s="250">
        <f t="shared" si="20"/>
        <v>229.87685000000002</v>
      </c>
      <c r="AE46" s="250">
        <f t="shared" si="20"/>
        <v>229.87685000000002</v>
      </c>
      <c r="AF46" s="348">
        <f>SUM(T46:AE46)</f>
        <v>2988.4008000000008</v>
      </c>
      <c r="AG46" s="333">
        <f>AH46+0.4</f>
        <v>2988.4</v>
      </c>
      <c r="AH46" s="337">
        <v>2988</v>
      </c>
      <c r="AI46" s="349" t="s">
        <v>302</v>
      </c>
      <c r="AP46" s="7" t="s">
        <v>317</v>
      </c>
    </row>
    <row r="47" spans="5:42" x14ac:dyDescent="0.3">
      <c r="R47" s="7"/>
      <c r="S47" s="346" t="s">
        <v>161</v>
      </c>
      <c r="T47" s="250">
        <f t="shared" ref="T47:T55" si="21">AG47/12</f>
        <v>418.41666666666669</v>
      </c>
      <c r="U47" s="250">
        <f t="shared" ref="U47:AA47" si="22">T47</f>
        <v>418.41666666666669</v>
      </c>
      <c r="V47" s="250">
        <f t="shared" si="22"/>
        <v>418.41666666666669</v>
      </c>
      <c r="W47" s="250">
        <f t="shared" si="22"/>
        <v>418.41666666666669</v>
      </c>
      <c r="X47" s="250">
        <f t="shared" si="22"/>
        <v>418.41666666666669</v>
      </c>
      <c r="Y47" s="250">
        <f t="shared" si="22"/>
        <v>418.41666666666669</v>
      </c>
      <c r="Z47" s="250">
        <f t="shared" si="22"/>
        <v>418.41666666666669</v>
      </c>
      <c r="AA47" s="250">
        <f t="shared" si="22"/>
        <v>418.41666666666669</v>
      </c>
      <c r="AB47" s="250">
        <f t="shared" ref="AB47:AC47" si="23">AA47</f>
        <v>418.41666666666669</v>
      </c>
      <c r="AC47" s="250">
        <f t="shared" si="23"/>
        <v>418.41666666666669</v>
      </c>
      <c r="AD47" s="250">
        <f t="shared" ref="AD47:AE47" si="24">AC47</f>
        <v>418.41666666666669</v>
      </c>
      <c r="AE47" s="250">
        <f t="shared" si="24"/>
        <v>418.41666666666669</v>
      </c>
      <c r="AF47" s="348">
        <f t="shared" si="7"/>
        <v>5021</v>
      </c>
      <c r="AG47" s="333">
        <f t="shared" ref="AG47:AG55" si="25">AH47</f>
        <v>5021</v>
      </c>
      <c r="AH47" s="337">
        <v>5021</v>
      </c>
      <c r="AI47" s="349" t="s">
        <v>300</v>
      </c>
    </row>
    <row r="48" spans="5:42" x14ac:dyDescent="0.3">
      <c r="Q48" s="10"/>
      <c r="R48" s="7"/>
      <c r="S48" s="346" t="s">
        <v>152</v>
      </c>
      <c r="T48" s="250">
        <f>(AG48/12)-22</f>
        <v>453.83333333333331</v>
      </c>
      <c r="U48" s="250">
        <f>(475.83)+75</f>
        <v>550.82999999999993</v>
      </c>
      <c r="V48" s="250">
        <f>(475.83)+53</f>
        <v>528.82999999999993</v>
      </c>
      <c r="W48" s="250">
        <f>(475.83)-98</f>
        <v>377.83</v>
      </c>
      <c r="X48" s="250">
        <f>(475.83)+21</f>
        <v>496.83</v>
      </c>
      <c r="Y48" s="250">
        <v>475.83</v>
      </c>
      <c r="Z48" s="250">
        <f>(475.83)-19</f>
        <v>456.83</v>
      </c>
      <c r="AA48" s="250">
        <f>(475.83)+99</f>
        <v>574.82999999999993</v>
      </c>
      <c r="AB48" s="250">
        <f>(475.83)-83</f>
        <v>392.83</v>
      </c>
      <c r="AC48" s="250">
        <f>(475.83)-8</f>
        <v>467.83</v>
      </c>
      <c r="AD48" s="250">
        <f>(475.83)+51</f>
        <v>526.82999999999993</v>
      </c>
      <c r="AE48" s="250">
        <f>(475.83)-68.96</f>
        <v>406.87</v>
      </c>
      <c r="AF48" s="348">
        <f t="shared" si="7"/>
        <v>5710.0033333333331</v>
      </c>
      <c r="AG48" s="333">
        <f t="shared" si="25"/>
        <v>5710</v>
      </c>
      <c r="AH48" s="337">
        <v>5710</v>
      </c>
      <c r="AI48" s="349" t="s">
        <v>296</v>
      </c>
    </row>
    <row r="49" spans="17:35" x14ac:dyDescent="0.3">
      <c r="Q49" s="10"/>
      <c r="R49" s="7"/>
      <c r="S49" s="346" t="s">
        <v>155</v>
      </c>
      <c r="T49" s="250">
        <f>(AG49/12)+55</f>
        <v>425.41666666666669</v>
      </c>
      <c r="U49" s="250">
        <f>(370.42)-21</f>
        <v>349.42</v>
      </c>
      <c r="V49" s="250">
        <f>(370.42)-27</f>
        <v>343.42</v>
      </c>
      <c r="W49" s="250">
        <f>(370.42)-91</f>
        <v>279.42</v>
      </c>
      <c r="X49" s="250">
        <f>(370.42)+83</f>
        <v>453.42</v>
      </c>
      <c r="Y49" s="250">
        <f>(370.42)+40</f>
        <v>410.42</v>
      </c>
      <c r="Z49" s="250">
        <f>(370.42)+108</f>
        <v>478.42</v>
      </c>
      <c r="AA49" s="250">
        <f>(370.42)-42</f>
        <v>328.42</v>
      </c>
      <c r="AB49" s="250">
        <f>(370.42)+39+46</f>
        <v>455.42</v>
      </c>
      <c r="AC49" s="250">
        <f>(370.42)-65</f>
        <v>305.42</v>
      </c>
      <c r="AD49" s="250">
        <f>(370.42)-89</f>
        <v>281.42</v>
      </c>
      <c r="AE49" s="250">
        <f>(370.42)-36</f>
        <v>334.42</v>
      </c>
      <c r="AF49" s="348">
        <f t="shared" si="7"/>
        <v>4445.0366666666669</v>
      </c>
      <c r="AG49" s="333">
        <f t="shared" si="25"/>
        <v>4445</v>
      </c>
      <c r="AH49" s="337">
        <v>4445</v>
      </c>
      <c r="AI49" s="349"/>
    </row>
    <row r="50" spans="17:35" x14ac:dyDescent="0.3">
      <c r="Q50" s="239"/>
      <c r="R50" s="7"/>
      <c r="S50" s="346" t="s">
        <v>158</v>
      </c>
      <c r="T50" s="250">
        <f>(AG50/12)-368</f>
        <v>669.75</v>
      </c>
      <c r="U50" s="250">
        <f>(1037.75)-127</f>
        <v>910.75</v>
      </c>
      <c r="V50" s="250">
        <f>(1037.75)+18</f>
        <v>1055.75</v>
      </c>
      <c r="W50" s="250">
        <f>(1037.75)+45</f>
        <v>1082.75</v>
      </c>
      <c r="X50" s="250">
        <f>(1037.75)+67</f>
        <v>1104.75</v>
      </c>
      <c r="Y50" s="250">
        <f>(1037.75)+203</f>
        <v>1240.75</v>
      </c>
      <c r="Z50" s="250">
        <f>(1037.75)+89</f>
        <v>1126.75</v>
      </c>
      <c r="AA50" s="250">
        <f>(1037.75)+25</f>
        <v>1062.75</v>
      </c>
      <c r="AB50" s="250">
        <f>(1037.75)+12</f>
        <v>1049.75</v>
      </c>
      <c r="AC50" s="250">
        <f>(1037.75)+29</f>
        <v>1066.75</v>
      </c>
      <c r="AD50" s="250">
        <f>(1037.75)+8</f>
        <v>1045.75</v>
      </c>
      <c r="AE50" s="250">
        <f>(1037.75)-1</f>
        <v>1036.75</v>
      </c>
      <c r="AF50" s="348">
        <f t="shared" si="7"/>
        <v>12453</v>
      </c>
      <c r="AG50" s="348">
        <f t="shared" si="25"/>
        <v>12453</v>
      </c>
      <c r="AH50" s="337">
        <v>12453</v>
      </c>
      <c r="AI50" s="349" t="s">
        <v>295</v>
      </c>
    </row>
    <row r="51" spans="17:35" x14ac:dyDescent="0.3">
      <c r="Q51" s="239"/>
      <c r="R51" s="7"/>
      <c r="S51" s="346" t="s">
        <v>166</v>
      </c>
      <c r="T51" s="250">
        <f>(AG51/12)+98</f>
        <v>373</v>
      </c>
      <c r="U51" s="250">
        <f>(275)-22</f>
        <v>253</v>
      </c>
      <c r="V51" s="250">
        <f>(275)+45</f>
        <v>320</v>
      </c>
      <c r="W51" s="250">
        <f>(275)+12</f>
        <v>287</v>
      </c>
      <c r="X51" s="250">
        <f>(275)+59</f>
        <v>334</v>
      </c>
      <c r="Y51" s="250">
        <f>(275)-71</f>
        <v>204</v>
      </c>
      <c r="Z51" s="250">
        <f>(275)-79</f>
        <v>196</v>
      </c>
      <c r="AA51" s="250">
        <f>(275)-38</f>
        <v>237</v>
      </c>
      <c r="AB51" s="250">
        <f>(275)-60</f>
        <v>215</v>
      </c>
      <c r="AC51" s="250">
        <f>(275)+32</f>
        <v>307</v>
      </c>
      <c r="AD51" s="250">
        <f>(275)+42</f>
        <v>317</v>
      </c>
      <c r="AE51" s="250">
        <f>(275)-18</f>
        <v>257</v>
      </c>
      <c r="AF51" s="348">
        <f t="shared" si="7"/>
        <v>3300</v>
      </c>
      <c r="AG51" s="333">
        <f t="shared" si="25"/>
        <v>3300</v>
      </c>
      <c r="AH51" s="337">
        <v>3300</v>
      </c>
      <c r="AI51" s="349"/>
    </row>
    <row r="52" spans="17:35" x14ac:dyDescent="0.3">
      <c r="Q52" s="239"/>
      <c r="R52" s="7"/>
      <c r="S52" s="346" t="s">
        <v>170</v>
      </c>
      <c r="T52" s="250">
        <v>1200</v>
      </c>
      <c r="U52" s="250">
        <v>200</v>
      </c>
      <c r="V52" s="250">
        <v>220</v>
      </c>
      <c r="W52" s="250">
        <v>1400</v>
      </c>
      <c r="X52" s="250">
        <v>200</v>
      </c>
      <c r="Y52" s="250">
        <v>240</v>
      </c>
      <c r="Z52" s="250">
        <v>2400</v>
      </c>
      <c r="AA52" s="250">
        <v>300</v>
      </c>
      <c r="AB52" s="250">
        <f>(517.17)+43</f>
        <v>560.16999999999996</v>
      </c>
      <c r="AC52" s="250">
        <v>520</v>
      </c>
      <c r="AD52" s="250">
        <v>360</v>
      </c>
      <c r="AE52" s="250">
        <v>330</v>
      </c>
      <c r="AF52" s="348">
        <f t="shared" si="7"/>
        <v>7930.17</v>
      </c>
      <c r="AG52" s="333">
        <f>AF52</f>
        <v>7930.17</v>
      </c>
      <c r="AH52" s="337">
        <v>6206</v>
      </c>
      <c r="AI52" s="349"/>
    </row>
    <row r="53" spans="17:35" x14ac:dyDescent="0.3">
      <c r="Q53" s="7"/>
      <c r="R53" s="7"/>
      <c r="S53" s="346" t="s">
        <v>5</v>
      </c>
      <c r="T53" s="250">
        <f t="shared" si="21"/>
        <v>484.56416666666672</v>
      </c>
      <c r="U53" s="250">
        <f t="shared" ref="U53:AE53" si="26">T53</f>
        <v>484.56416666666672</v>
      </c>
      <c r="V53" s="250">
        <f t="shared" si="26"/>
        <v>484.56416666666672</v>
      </c>
      <c r="W53" s="250">
        <f t="shared" si="26"/>
        <v>484.56416666666672</v>
      </c>
      <c r="X53" s="250">
        <f t="shared" si="26"/>
        <v>484.56416666666672</v>
      </c>
      <c r="Y53" s="250">
        <f t="shared" si="26"/>
        <v>484.56416666666672</v>
      </c>
      <c r="Z53" s="250">
        <f t="shared" si="26"/>
        <v>484.56416666666672</v>
      </c>
      <c r="AA53" s="250">
        <f t="shared" si="26"/>
        <v>484.56416666666672</v>
      </c>
      <c r="AB53" s="250">
        <f t="shared" ref="AB53:AC55" si="27">AA53</f>
        <v>484.56416666666672</v>
      </c>
      <c r="AC53" s="250">
        <f t="shared" si="27"/>
        <v>484.56416666666672</v>
      </c>
      <c r="AD53" s="250">
        <f t="shared" si="26"/>
        <v>484.56416666666672</v>
      </c>
      <c r="AE53" s="250">
        <f t="shared" si="26"/>
        <v>484.56416666666672</v>
      </c>
      <c r="AF53" s="348">
        <f t="shared" si="7"/>
        <v>5814.7700000000013</v>
      </c>
      <c r="AG53" s="333">
        <f t="shared" si="25"/>
        <v>5814.77</v>
      </c>
      <c r="AH53" s="337">
        <v>5814.77</v>
      </c>
      <c r="AI53" s="349"/>
    </row>
    <row r="54" spans="17:35" x14ac:dyDescent="0.3">
      <c r="Q54" s="7"/>
      <c r="R54" s="7"/>
      <c r="S54" s="346" t="s">
        <v>6</v>
      </c>
      <c r="T54" s="250">
        <f t="shared" si="21"/>
        <v>233.33333333333334</v>
      </c>
      <c r="U54" s="250">
        <f t="shared" ref="U54:AE54" si="28">T54</f>
        <v>233.33333333333334</v>
      </c>
      <c r="V54" s="250">
        <f t="shared" si="28"/>
        <v>233.33333333333334</v>
      </c>
      <c r="W54" s="250">
        <f t="shared" si="28"/>
        <v>233.33333333333334</v>
      </c>
      <c r="X54" s="250">
        <f t="shared" si="28"/>
        <v>233.33333333333334</v>
      </c>
      <c r="Y54" s="250">
        <f t="shared" si="28"/>
        <v>233.33333333333334</v>
      </c>
      <c r="Z54" s="250">
        <f t="shared" si="28"/>
        <v>233.33333333333334</v>
      </c>
      <c r="AA54" s="250">
        <f t="shared" si="28"/>
        <v>233.33333333333334</v>
      </c>
      <c r="AB54" s="250">
        <f t="shared" si="27"/>
        <v>233.33333333333334</v>
      </c>
      <c r="AC54" s="250">
        <f t="shared" si="27"/>
        <v>233.33333333333334</v>
      </c>
      <c r="AD54" s="250">
        <f t="shared" si="28"/>
        <v>233.33333333333334</v>
      </c>
      <c r="AE54" s="250">
        <f t="shared" si="28"/>
        <v>233.33333333333334</v>
      </c>
      <c r="AF54" s="348">
        <f t="shared" si="7"/>
        <v>2800.0000000000005</v>
      </c>
      <c r="AG54" s="333">
        <f t="shared" si="25"/>
        <v>2800</v>
      </c>
      <c r="AH54" s="337">
        <v>2800</v>
      </c>
      <c r="AI54" s="349"/>
    </row>
    <row r="55" spans="17:35" x14ac:dyDescent="0.3">
      <c r="Q55" s="7"/>
      <c r="R55" s="7"/>
      <c r="S55" s="346" t="s">
        <v>213</v>
      </c>
      <c r="T55" s="250">
        <f t="shared" si="21"/>
        <v>444.41666666666669</v>
      </c>
      <c r="U55" s="250">
        <f t="shared" ref="U55:AE55" si="29">T55</f>
        <v>444.41666666666669</v>
      </c>
      <c r="V55" s="250">
        <f t="shared" si="29"/>
        <v>444.41666666666669</v>
      </c>
      <c r="W55" s="250">
        <f t="shared" si="29"/>
        <v>444.41666666666669</v>
      </c>
      <c r="X55" s="250">
        <f t="shared" si="29"/>
        <v>444.41666666666669</v>
      </c>
      <c r="Y55" s="250">
        <f t="shared" si="29"/>
        <v>444.41666666666669</v>
      </c>
      <c r="Z55" s="250">
        <f t="shared" si="29"/>
        <v>444.41666666666669</v>
      </c>
      <c r="AA55" s="250">
        <f t="shared" si="29"/>
        <v>444.41666666666669</v>
      </c>
      <c r="AB55" s="250">
        <f t="shared" si="27"/>
        <v>444.41666666666669</v>
      </c>
      <c r="AC55" s="250">
        <f t="shared" si="27"/>
        <v>444.41666666666669</v>
      </c>
      <c r="AD55" s="250">
        <f t="shared" si="29"/>
        <v>444.41666666666669</v>
      </c>
      <c r="AE55" s="250">
        <f t="shared" si="29"/>
        <v>444.41666666666669</v>
      </c>
      <c r="AF55" s="348">
        <f t="shared" si="7"/>
        <v>5333</v>
      </c>
      <c r="AG55" s="333">
        <f t="shared" si="25"/>
        <v>5333</v>
      </c>
      <c r="AH55" s="360">
        <v>5333</v>
      </c>
      <c r="AI55" s="349"/>
    </row>
    <row r="56" spans="17:35" x14ac:dyDescent="0.3">
      <c r="R56" s="7"/>
      <c r="S56" s="357" t="s">
        <v>310</v>
      </c>
      <c r="T56" s="7">
        <v>1544</v>
      </c>
      <c r="U56" s="7">
        <v>1544</v>
      </c>
      <c r="V56" s="7">
        <v>1544</v>
      </c>
      <c r="W56" s="7">
        <v>1544</v>
      </c>
      <c r="X56" s="7">
        <v>1544</v>
      </c>
      <c r="Y56" s="7">
        <v>1544</v>
      </c>
      <c r="Z56" s="7">
        <v>1544</v>
      </c>
      <c r="AA56" s="7">
        <v>1544</v>
      </c>
      <c r="AB56" s="7">
        <v>1544</v>
      </c>
      <c r="AC56" s="7">
        <v>1544</v>
      </c>
      <c r="AD56" s="7">
        <v>1544</v>
      </c>
      <c r="AE56" s="7">
        <v>1544</v>
      </c>
      <c r="AF56" s="348">
        <f>SUM(T56:AE56)</f>
        <v>18528</v>
      </c>
      <c r="AG56" s="361">
        <f>AF56</f>
        <v>18528</v>
      </c>
      <c r="AH56" s="7"/>
      <c r="AI56" s="7"/>
    </row>
    <row r="57" spans="17:35" x14ac:dyDescent="0.3">
      <c r="Q57" s="7"/>
      <c r="R57" s="7"/>
      <c r="S57" s="373" t="s">
        <v>311</v>
      </c>
      <c r="T57" s="250">
        <v>570</v>
      </c>
      <c r="U57" s="250">
        <v>570</v>
      </c>
      <c r="V57" s="250">
        <v>570</v>
      </c>
      <c r="W57" s="250">
        <v>570</v>
      </c>
      <c r="X57" s="250">
        <v>570</v>
      </c>
      <c r="Y57" s="250">
        <v>570</v>
      </c>
      <c r="Z57" s="250">
        <v>570</v>
      </c>
      <c r="AA57" s="250">
        <v>570</v>
      </c>
      <c r="AB57" s="250">
        <v>570</v>
      </c>
      <c r="AC57" s="250">
        <v>570</v>
      </c>
      <c r="AD57" s="250">
        <v>570</v>
      </c>
      <c r="AE57" s="250">
        <v>570</v>
      </c>
      <c r="AF57" s="348">
        <f>SUM(T57:AE57)</f>
        <v>6840</v>
      </c>
      <c r="AG57" s="362">
        <f>AF57</f>
        <v>6840</v>
      </c>
      <c r="AH57" s="363"/>
      <c r="AI57" s="349"/>
    </row>
    <row r="58" spans="17:35" x14ac:dyDescent="0.3">
      <c r="Q58" s="7"/>
      <c r="R58" s="7"/>
      <c r="S58" s="358" t="s">
        <v>312</v>
      </c>
      <c r="T58" s="250">
        <v>3888</v>
      </c>
      <c r="U58" s="250">
        <v>3888</v>
      </c>
      <c r="V58" s="250">
        <v>3888</v>
      </c>
      <c r="W58" s="250">
        <v>3888</v>
      </c>
      <c r="X58" s="250">
        <v>3888</v>
      </c>
      <c r="Y58" s="250">
        <v>3888</v>
      </c>
      <c r="Z58" s="250">
        <v>3888</v>
      </c>
      <c r="AA58" s="250">
        <v>3888</v>
      </c>
      <c r="AB58" s="250">
        <v>3888</v>
      </c>
      <c r="AC58" s="250">
        <v>3888</v>
      </c>
      <c r="AD58" s="250">
        <v>3888</v>
      </c>
      <c r="AE58" s="250">
        <v>3888</v>
      </c>
      <c r="AF58" s="348">
        <f>SUM(T58:AE58)</f>
        <v>46656</v>
      </c>
      <c r="AG58" s="362">
        <f>AF58</f>
        <v>46656</v>
      </c>
      <c r="AH58" s="363"/>
      <c r="AI58" s="349"/>
    </row>
    <row r="59" spans="17:35" x14ac:dyDescent="0.3">
      <c r="R59" s="7"/>
      <c r="S59" s="353" t="s">
        <v>27</v>
      </c>
      <c r="T59" s="241">
        <f t="shared" ref="T59:AG59" si="30">SUM(T13:T58)</f>
        <v>121647.46477674358</v>
      </c>
      <c r="U59" s="241">
        <f t="shared" si="30"/>
        <v>93752.728020301263</v>
      </c>
      <c r="V59" s="241">
        <f t="shared" si="30"/>
        <v>122120.72802030129</v>
      </c>
      <c r="W59" s="241">
        <f t="shared" si="30"/>
        <v>151213.70658340919</v>
      </c>
      <c r="X59" s="241">
        <f t="shared" si="30"/>
        <v>125050.77825791665</v>
      </c>
      <c r="Y59" s="241">
        <f t="shared" si="30"/>
        <v>129087.73765791666</v>
      </c>
      <c r="Z59" s="241">
        <f t="shared" si="30"/>
        <v>163957.26797492904</v>
      </c>
      <c r="AA59" s="241">
        <f t="shared" si="30"/>
        <v>116375.73825791667</v>
      </c>
      <c r="AB59" s="241">
        <f t="shared" si="30"/>
        <v>116539.30825791668</v>
      </c>
      <c r="AC59" s="241">
        <f t="shared" si="30"/>
        <v>136871.10553052151</v>
      </c>
      <c r="AD59" s="241">
        <f t="shared" si="30"/>
        <v>115389.73825791667</v>
      </c>
      <c r="AE59" s="241">
        <f t="shared" si="30"/>
        <v>114703.26171341665</v>
      </c>
      <c r="AF59" s="241">
        <f t="shared" si="30"/>
        <v>1506709.5633092059</v>
      </c>
      <c r="AG59" s="290">
        <f t="shared" si="30"/>
        <v>1506709.7436213596</v>
      </c>
      <c r="AH59" s="7"/>
      <c r="AI59" s="7"/>
    </row>
    <row r="60" spans="17:35" x14ac:dyDescent="0.3">
      <c r="R60" s="7"/>
      <c r="S60" s="353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>
        <f>SUM(T59:AE59)</f>
        <v>1506709.5633092057</v>
      </c>
      <c r="AG60" s="290"/>
      <c r="AH60" s="7" t="s">
        <v>319</v>
      </c>
      <c r="AI60" s="7"/>
    </row>
    <row r="61" spans="17:35" x14ac:dyDescent="0.3">
      <c r="R61" s="7"/>
      <c r="S61" s="353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>
        <f>SUM(T13:AE58)</f>
        <v>1506709.5633092085</v>
      </c>
      <c r="AG61" s="290"/>
      <c r="AH61" s="7" t="s">
        <v>319</v>
      </c>
      <c r="AI61" s="7"/>
    </row>
    <row r="62" spans="17:35" x14ac:dyDescent="0.3">
      <c r="R62" s="7"/>
      <c r="S62" s="353" t="s">
        <v>254</v>
      </c>
      <c r="T62" s="364">
        <f t="shared" ref="T62:AE62" si="31">T11-T59</f>
        <v>46863.496888256748</v>
      </c>
      <c r="U62" s="364">
        <f t="shared" si="31"/>
        <v>34723.118545532416</v>
      </c>
      <c r="V62" s="364">
        <f t="shared" si="31"/>
        <v>21131.060995949054</v>
      </c>
      <c r="W62" s="295">
        <f t="shared" si="31"/>
        <v>-12117.196341950534</v>
      </c>
      <c r="X62" s="364">
        <f t="shared" si="31"/>
        <v>12494.842596146191</v>
      </c>
      <c r="Y62" s="364">
        <f t="shared" si="31"/>
        <v>21611.389902448005</v>
      </c>
      <c r="Z62" s="295">
        <f t="shared" si="31"/>
        <v>-26021.655594746466</v>
      </c>
      <c r="AA62" s="364">
        <f t="shared" si="31"/>
        <v>20057.933665508113</v>
      </c>
      <c r="AB62" s="364">
        <f t="shared" si="31"/>
        <v>19185.468437129224</v>
      </c>
      <c r="AC62" s="295">
        <f t="shared" si="31"/>
        <v>-3021.5514496657997</v>
      </c>
      <c r="AD62" s="364">
        <f t="shared" si="31"/>
        <v>19278.454515844933</v>
      </c>
      <c r="AE62" s="364">
        <f t="shared" si="31"/>
        <v>19441.000406797641</v>
      </c>
      <c r="AF62" s="364"/>
      <c r="AG62" s="365"/>
      <c r="AH62" s="7"/>
      <c r="AI62" s="7"/>
    </row>
    <row r="63" spans="17:35" x14ac:dyDescent="0.3">
      <c r="R63" s="7"/>
      <c r="S63" s="366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290"/>
      <c r="AH63" s="7"/>
      <c r="AI63" s="7"/>
    </row>
    <row r="64" spans="17:35" x14ac:dyDescent="0.3">
      <c r="R64" s="7"/>
      <c r="S64" s="353" t="s">
        <v>255</v>
      </c>
      <c r="T64" s="340">
        <f t="shared" ref="T64:AE64" si="32">T8+T62</f>
        <v>-9981.5031117432518</v>
      </c>
      <c r="U64" s="340">
        <f t="shared" si="32"/>
        <v>24741.615433789164</v>
      </c>
      <c r="V64" s="340">
        <f t="shared" si="32"/>
        <v>45872.676429738218</v>
      </c>
      <c r="W64" s="340">
        <f t="shared" si="32"/>
        <v>33755.480087787684</v>
      </c>
      <c r="X64" s="340">
        <f t="shared" si="32"/>
        <v>46250.322683933875</v>
      </c>
      <c r="Y64" s="340">
        <f t="shared" si="32"/>
        <v>67861.71258638188</v>
      </c>
      <c r="Z64" s="340">
        <f t="shared" si="32"/>
        <v>41840.056991635414</v>
      </c>
      <c r="AA64" s="340">
        <f t="shared" si="32"/>
        <v>61897.990657143528</v>
      </c>
      <c r="AB64" s="340">
        <f t="shared" si="32"/>
        <v>81083.459094272752</v>
      </c>
      <c r="AC64" s="340">
        <f t="shared" si="32"/>
        <v>78061.907644606952</v>
      </c>
      <c r="AD64" s="340">
        <f t="shared" si="32"/>
        <v>97340.362160451885</v>
      </c>
      <c r="AE64" s="295">
        <f t="shared" si="32"/>
        <v>116781.36256724953</v>
      </c>
      <c r="AF64" s="295"/>
      <c r="AG64" s="290"/>
      <c r="AH64" s="7"/>
      <c r="AI64" s="7"/>
    </row>
    <row r="65" spans="18:35" x14ac:dyDescent="0.3">
      <c r="R65" s="7"/>
      <c r="S65" s="367"/>
      <c r="T65" s="368"/>
      <c r="U65" s="368"/>
      <c r="V65" s="368"/>
      <c r="W65" s="368"/>
      <c r="X65" s="368"/>
      <c r="Y65" s="368"/>
      <c r="Z65" s="368"/>
      <c r="AA65" s="368"/>
      <c r="AB65" s="368"/>
      <c r="AC65" s="368"/>
      <c r="AD65" s="368"/>
      <c r="AE65" s="368"/>
      <c r="AF65" s="368"/>
      <c r="AG65" s="369"/>
      <c r="AH65" s="7"/>
      <c r="AI65" s="7"/>
    </row>
    <row r="66" spans="18:35" x14ac:dyDescent="0.3">
      <c r="R66" s="7"/>
      <c r="S66" s="7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370"/>
      <c r="AH66" s="7"/>
      <c r="AI66" s="7"/>
    </row>
    <row r="67" spans="18:35" x14ac:dyDescent="0.3">
      <c r="R67" s="7"/>
      <c r="S67" s="371" t="s">
        <v>256</v>
      </c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370"/>
      <c r="AH67" s="7"/>
      <c r="AI67" s="7"/>
    </row>
    <row r="68" spans="18:35" x14ac:dyDescent="0.3">
      <c r="R68" s="7"/>
      <c r="S68" s="7" t="s">
        <v>257</v>
      </c>
      <c r="T68" s="199">
        <v>3</v>
      </c>
      <c r="U68" s="199">
        <v>2</v>
      </c>
      <c r="V68" s="199">
        <v>2</v>
      </c>
      <c r="W68" s="199">
        <v>2</v>
      </c>
      <c r="X68" s="199">
        <v>2</v>
      </c>
      <c r="Y68" s="199">
        <v>2</v>
      </c>
      <c r="Z68" s="199">
        <v>3</v>
      </c>
      <c r="AA68" s="199">
        <v>2</v>
      </c>
      <c r="AB68" s="199">
        <v>2</v>
      </c>
      <c r="AC68" s="199">
        <v>2</v>
      </c>
      <c r="AD68" s="199">
        <v>2</v>
      </c>
      <c r="AE68" s="199">
        <v>2</v>
      </c>
      <c r="AF68" s="199"/>
      <c r="AG68" s="370">
        <f>SUM(T68:AE68)</f>
        <v>26</v>
      </c>
      <c r="AH68" s="7"/>
      <c r="AI68" s="7"/>
    </row>
    <row r="69" spans="18:35" x14ac:dyDescent="0.3"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8:35" x14ac:dyDescent="0.3"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8:35" x14ac:dyDescent="0.3"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8:35" x14ac:dyDescent="0.3"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8:35" x14ac:dyDescent="0.3"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8:35" x14ac:dyDescent="0.3"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8:35" x14ac:dyDescent="0.3"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8:35" x14ac:dyDescent="0.3"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8:35" x14ac:dyDescent="0.3"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8:35" x14ac:dyDescent="0.3"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8:35" x14ac:dyDescent="0.3"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8:35" x14ac:dyDescent="0.3"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</sheetData>
  <mergeCells count="3">
    <mergeCell ref="S1:AG1"/>
    <mergeCell ref="S2:AG2"/>
    <mergeCell ref="S3:AG3"/>
  </mergeCells>
  <pageMargins left="0.7" right="0.7" top="0.75" bottom="0.75" header="0.3" footer="0.3"/>
  <pageSetup paperSize="9" orientation="portrait" r:id="rId1"/>
  <ignoredErrors>
    <ignoredError sqref="AC13 T16 T22" formula="1"/>
  </ignoredError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  <pageSetUpPr fitToPage="1"/>
  </sheetPr>
  <dimension ref="A1:J79"/>
  <sheetViews>
    <sheetView topLeftCell="A13" zoomScale="75" zoomScaleNormal="75" workbookViewId="0">
      <selection activeCell="C24" sqref="C24"/>
    </sheetView>
  </sheetViews>
  <sheetFormatPr defaultRowHeight="14.4" x14ac:dyDescent="0.3"/>
  <cols>
    <col min="1" max="1" width="50.5546875" customWidth="1"/>
    <col min="2" max="2" width="14.88671875" customWidth="1"/>
    <col min="3" max="3" width="14.5546875" customWidth="1"/>
    <col min="4" max="4" width="9.5546875" bestFit="1" customWidth="1"/>
  </cols>
  <sheetData>
    <row r="1" spans="1:10" ht="21" customHeight="1" x14ac:dyDescent="0.25">
      <c r="A1" s="399" t="s">
        <v>104</v>
      </c>
      <c r="B1" s="400"/>
      <c r="C1" s="401"/>
    </row>
    <row r="2" spans="1:10" ht="21" customHeight="1" x14ac:dyDescent="0.25">
      <c r="A2" s="64" t="s">
        <v>49</v>
      </c>
      <c r="B2" s="221"/>
      <c r="C2" s="222"/>
    </row>
    <row r="3" spans="1:10" ht="21" customHeight="1" x14ac:dyDescent="0.25">
      <c r="A3" s="402" t="s">
        <v>198</v>
      </c>
      <c r="B3" s="403"/>
      <c r="C3" s="404"/>
    </row>
    <row r="4" spans="1:10" ht="15" x14ac:dyDescent="0.25">
      <c r="A4" s="405" t="s">
        <v>336</v>
      </c>
      <c r="B4" s="406"/>
      <c r="C4" s="407"/>
      <c r="E4" s="233"/>
    </row>
    <row r="5" spans="1:10" ht="15" x14ac:dyDescent="0.25">
      <c r="A5" s="76"/>
      <c r="B5" s="77"/>
      <c r="C5" s="78"/>
    </row>
    <row r="6" spans="1:10" x14ac:dyDescent="0.35">
      <c r="A6" s="70" t="s">
        <v>105</v>
      </c>
      <c r="B6" s="69"/>
      <c r="C6" s="71"/>
    </row>
    <row r="7" spans="1:10" x14ac:dyDescent="0.35">
      <c r="A7" s="79" t="s">
        <v>174</v>
      </c>
      <c r="B7" s="132"/>
      <c r="C7" s="143">
        <v>834110.66</v>
      </c>
      <c r="D7" s="67"/>
    </row>
    <row r="8" spans="1:10" x14ac:dyDescent="0.35">
      <c r="A8" s="245" t="s">
        <v>201</v>
      </c>
      <c r="B8" s="132"/>
      <c r="C8" s="143">
        <f>'Service Report'!D36</f>
        <v>306572.86000000004</v>
      </c>
      <c r="D8" s="67"/>
    </row>
    <row r="9" spans="1:10" ht="14.1" customHeight="1" x14ac:dyDescent="0.35">
      <c r="A9" s="245" t="s">
        <v>205</v>
      </c>
      <c r="B9" s="132"/>
      <c r="C9" s="143">
        <f>'Service Report'!D37+'Service Report'!D38</f>
        <v>216604.01180000004</v>
      </c>
      <c r="D9" s="68"/>
      <c r="E9" s="35"/>
    </row>
    <row r="10" spans="1:10" x14ac:dyDescent="0.35">
      <c r="A10" s="80" t="s">
        <v>202</v>
      </c>
      <c r="B10" s="132"/>
      <c r="C10" s="380">
        <v>47364.084200000005</v>
      </c>
      <c r="D10" s="240"/>
      <c r="E10" s="10"/>
      <c r="F10" s="10"/>
      <c r="G10" s="35"/>
    </row>
    <row r="11" spans="1:10" x14ac:dyDescent="0.35">
      <c r="A11" s="72" t="s">
        <v>199</v>
      </c>
      <c r="B11" s="171"/>
      <c r="C11" s="168">
        <f>SUM(C7:C10)</f>
        <v>1404651.6159999999</v>
      </c>
      <c r="J11" s="35"/>
    </row>
    <row r="12" spans="1:10" x14ac:dyDescent="0.35">
      <c r="A12" s="72"/>
      <c r="B12" s="171"/>
      <c r="C12" s="229"/>
    </row>
    <row r="13" spans="1:10" x14ac:dyDescent="0.35">
      <c r="A13" s="72" t="s">
        <v>195</v>
      </c>
      <c r="B13" s="136"/>
      <c r="C13" s="169">
        <f>'Cost of Goods Sold (COGS)'!B19</f>
        <v>406500</v>
      </c>
      <c r="D13" s="35"/>
      <c r="E13" s="35"/>
    </row>
    <row r="14" spans="1:10" x14ac:dyDescent="0.35">
      <c r="A14" s="81"/>
      <c r="B14" s="136"/>
      <c r="C14" s="169"/>
      <c r="E14" s="35"/>
    </row>
    <row r="15" spans="1:10" x14ac:dyDescent="0.35">
      <c r="A15" s="82" t="s">
        <v>1</v>
      </c>
      <c r="B15" s="140"/>
      <c r="C15" s="170">
        <f>C11-C13</f>
        <v>998151.61599999992</v>
      </c>
    </row>
    <row r="16" spans="1:10" x14ac:dyDescent="0.35">
      <c r="A16" s="145"/>
      <c r="B16" s="138"/>
      <c r="C16" s="134"/>
    </row>
    <row r="17" spans="1:5" x14ac:dyDescent="0.35">
      <c r="A17" s="70" t="s">
        <v>146</v>
      </c>
      <c r="B17" s="141"/>
      <c r="C17" s="142"/>
      <c r="D17" s="8"/>
    </row>
    <row r="18" spans="1:5" x14ac:dyDescent="0.35">
      <c r="A18" s="172" t="s">
        <v>192</v>
      </c>
      <c r="B18" s="138"/>
      <c r="C18" s="135"/>
      <c r="D18" s="8"/>
    </row>
    <row r="19" spans="1:5" x14ac:dyDescent="0.35">
      <c r="A19" s="83" t="s">
        <v>100</v>
      </c>
      <c r="B19" s="136"/>
      <c r="C19" s="133"/>
    </row>
    <row r="20" spans="1:5" x14ac:dyDescent="0.35">
      <c r="A20" s="79" t="s">
        <v>99</v>
      </c>
      <c r="B20" s="136">
        <v>70000</v>
      </c>
      <c r="C20" s="133"/>
    </row>
    <row r="21" spans="1:5" x14ac:dyDescent="0.35">
      <c r="A21" s="79" t="s">
        <v>98</v>
      </c>
      <c r="B21" s="136">
        <v>70000</v>
      </c>
      <c r="C21" s="133"/>
      <c r="D21" s="35"/>
    </row>
    <row r="22" spans="1:5" x14ac:dyDescent="0.35">
      <c r="A22" s="80" t="s">
        <v>57</v>
      </c>
      <c r="B22" s="136">
        <v>95001</v>
      </c>
      <c r="C22" s="133"/>
    </row>
    <row r="23" spans="1:5" ht="15" x14ac:dyDescent="0.25">
      <c r="A23" s="80" t="s">
        <v>58</v>
      </c>
      <c r="B23" s="136">
        <v>91666</v>
      </c>
      <c r="C23" s="133"/>
      <c r="E23" s="35"/>
    </row>
    <row r="24" spans="1:5" ht="15" x14ac:dyDescent="0.25">
      <c r="A24" s="80" t="s">
        <v>59</v>
      </c>
      <c r="B24" s="136">
        <v>63333</v>
      </c>
      <c r="C24" s="133"/>
    </row>
    <row r="25" spans="1:5" ht="15" x14ac:dyDescent="0.25">
      <c r="A25" s="80" t="s">
        <v>60</v>
      </c>
      <c r="B25" s="136">
        <v>19117</v>
      </c>
      <c r="C25" s="133"/>
      <c r="D25" t="s">
        <v>337</v>
      </c>
    </row>
    <row r="26" spans="1:5" ht="15" x14ac:dyDescent="0.25">
      <c r="A26" s="80" t="s">
        <v>184</v>
      </c>
      <c r="B26" s="132">
        <f>SUM(B20:B25)*0.09</f>
        <v>36820.53</v>
      </c>
      <c r="C26" s="143"/>
    </row>
    <row r="27" spans="1:5" ht="15" x14ac:dyDescent="0.25">
      <c r="A27" s="73" t="s">
        <v>23</v>
      </c>
      <c r="B27" s="136">
        <f>SUM(B20:B26)*0.0175</f>
        <v>7803.9067750000013</v>
      </c>
      <c r="C27" s="133"/>
    </row>
    <row r="28" spans="1:5" ht="15" x14ac:dyDescent="0.25">
      <c r="A28" s="80" t="s">
        <v>149</v>
      </c>
      <c r="B28" s="136">
        <v>4000</v>
      </c>
      <c r="C28" s="133"/>
      <c r="D28" s="35"/>
    </row>
    <row r="29" spans="1:5" ht="15" x14ac:dyDescent="0.25">
      <c r="A29" s="83" t="s">
        <v>154</v>
      </c>
      <c r="B29" s="136"/>
      <c r="C29" s="133"/>
    </row>
    <row r="30" spans="1:5" x14ac:dyDescent="0.35">
      <c r="A30" s="80" t="s">
        <v>61</v>
      </c>
      <c r="B30" s="136">
        <v>156666</v>
      </c>
      <c r="C30" s="133"/>
    </row>
    <row r="31" spans="1:5" x14ac:dyDescent="0.35">
      <c r="A31" s="80" t="s">
        <v>62</v>
      </c>
      <c r="B31" s="136">
        <f>B30*0.09</f>
        <v>14099.939999999999</v>
      </c>
      <c r="C31" s="133"/>
    </row>
    <row r="32" spans="1:5" x14ac:dyDescent="0.35">
      <c r="A32" s="73" t="s">
        <v>23</v>
      </c>
      <c r="B32" s="136">
        <f>SUM(B30:B31)*0.0175</f>
        <v>2988.4039500000003</v>
      </c>
      <c r="C32" s="133"/>
      <c r="D32" s="35"/>
    </row>
    <row r="33" spans="1:4" x14ac:dyDescent="0.35">
      <c r="A33" s="173" t="s">
        <v>150</v>
      </c>
      <c r="B33" s="136"/>
      <c r="C33" s="169">
        <f>SUM(B20:B32)</f>
        <v>631495.78072499996</v>
      </c>
    </row>
    <row r="34" spans="1:4" x14ac:dyDescent="0.35">
      <c r="A34" s="74"/>
      <c r="B34" s="136"/>
      <c r="C34" s="169"/>
    </row>
    <row r="35" spans="1:4" x14ac:dyDescent="0.35">
      <c r="A35" s="84" t="s">
        <v>148</v>
      </c>
      <c r="B35" s="136"/>
      <c r="C35" s="133"/>
    </row>
    <row r="36" spans="1:4" x14ac:dyDescent="0.35">
      <c r="A36" s="73" t="s">
        <v>161</v>
      </c>
      <c r="B36" s="136">
        <v>5021</v>
      </c>
      <c r="C36" s="133"/>
    </row>
    <row r="37" spans="1:4" x14ac:dyDescent="0.35">
      <c r="A37" s="73" t="s">
        <v>176</v>
      </c>
      <c r="B37" s="136">
        <v>1094</v>
      </c>
      <c r="C37" s="133"/>
    </row>
    <row r="38" spans="1:4" x14ac:dyDescent="0.35">
      <c r="A38" s="73" t="s">
        <v>152</v>
      </c>
      <c r="B38" s="136">
        <v>5710</v>
      </c>
      <c r="C38" s="133"/>
    </row>
    <row r="39" spans="1:4" x14ac:dyDescent="0.35">
      <c r="A39" s="73" t="s">
        <v>2</v>
      </c>
      <c r="B39" s="136">
        <v>3460</v>
      </c>
      <c r="C39" s="133"/>
    </row>
    <row r="40" spans="1:4" x14ac:dyDescent="0.35">
      <c r="A40" s="73" t="s">
        <v>153</v>
      </c>
      <c r="B40" s="136">
        <v>2461</v>
      </c>
      <c r="C40" s="133"/>
    </row>
    <row r="41" spans="1:4" x14ac:dyDescent="0.35">
      <c r="A41" s="73" t="s">
        <v>147</v>
      </c>
      <c r="B41" s="136">
        <v>1739</v>
      </c>
      <c r="C41" s="133"/>
    </row>
    <row r="42" spans="1:4" x14ac:dyDescent="0.35">
      <c r="A42" s="173" t="s">
        <v>151</v>
      </c>
      <c r="B42" s="139"/>
      <c r="C42" s="169">
        <f>SUM(B36:B41)</f>
        <v>19485</v>
      </c>
      <c r="D42" s="35"/>
    </row>
    <row r="43" spans="1:4" x14ac:dyDescent="0.35">
      <c r="A43" s="74"/>
      <c r="B43" s="139"/>
      <c r="C43" s="169"/>
    </row>
    <row r="44" spans="1:4" x14ac:dyDescent="0.35">
      <c r="A44" s="74" t="s">
        <v>193</v>
      </c>
      <c r="B44" s="139"/>
      <c r="C44" s="169"/>
    </row>
    <row r="45" spans="1:4" x14ac:dyDescent="0.3">
      <c r="A45" t="s">
        <v>210</v>
      </c>
      <c r="B45" s="136">
        <v>3000</v>
      </c>
      <c r="C45" s="169"/>
    </row>
    <row r="46" spans="1:4" x14ac:dyDescent="0.3">
      <c r="A46" s="79" t="s">
        <v>183</v>
      </c>
      <c r="B46" s="136">
        <v>71060</v>
      </c>
      <c r="C46" s="133"/>
    </row>
    <row r="47" spans="1:4" x14ac:dyDescent="0.3">
      <c r="A47" s="73" t="s">
        <v>155</v>
      </c>
      <c r="B47" s="136">
        <v>4445</v>
      </c>
      <c r="C47" s="133"/>
    </row>
    <row r="48" spans="1:4" x14ac:dyDescent="0.3">
      <c r="A48" s="73" t="s">
        <v>4</v>
      </c>
      <c r="B48" s="136">
        <v>8926</v>
      </c>
      <c r="C48" s="133"/>
    </row>
    <row r="49" spans="1:4" x14ac:dyDescent="0.3">
      <c r="A49" s="73" t="s">
        <v>156</v>
      </c>
      <c r="B49" s="137">
        <v>18549</v>
      </c>
      <c r="C49" s="133"/>
    </row>
    <row r="50" spans="1:4" x14ac:dyDescent="0.3">
      <c r="A50" s="73" t="s">
        <v>3</v>
      </c>
      <c r="B50" s="136">
        <v>2328</v>
      </c>
      <c r="C50" s="133"/>
    </row>
    <row r="51" spans="1:4" x14ac:dyDescent="0.3">
      <c r="A51" s="73" t="s">
        <v>168</v>
      </c>
      <c r="B51" s="136">
        <v>9814</v>
      </c>
      <c r="C51" s="133"/>
    </row>
    <row r="52" spans="1:4" x14ac:dyDescent="0.3">
      <c r="A52" s="73" t="s">
        <v>169</v>
      </c>
      <c r="B52" s="136">
        <v>1034</v>
      </c>
      <c r="C52" s="133"/>
    </row>
    <row r="53" spans="1:4" x14ac:dyDescent="0.3">
      <c r="A53" s="73" t="s">
        <v>24</v>
      </c>
      <c r="B53" s="136">
        <v>7319</v>
      </c>
      <c r="C53" s="133"/>
    </row>
    <row r="54" spans="1:4" x14ac:dyDescent="0.3">
      <c r="A54" s="73" t="s">
        <v>25</v>
      </c>
      <c r="B54" s="136">
        <v>2197</v>
      </c>
      <c r="C54" s="133"/>
    </row>
    <row r="55" spans="1:4" x14ac:dyDescent="0.3">
      <c r="A55" s="73" t="s">
        <v>55</v>
      </c>
      <c r="B55" s="136">
        <v>3672</v>
      </c>
      <c r="C55" s="133"/>
    </row>
    <row r="56" spans="1:4" x14ac:dyDescent="0.3">
      <c r="A56" s="73" t="s">
        <v>157</v>
      </c>
      <c r="B56" s="136">
        <v>6577</v>
      </c>
      <c r="C56" s="133"/>
    </row>
    <row r="57" spans="1:4" x14ac:dyDescent="0.3">
      <c r="A57" s="73" t="s">
        <v>158</v>
      </c>
      <c r="B57" s="136">
        <v>12453</v>
      </c>
      <c r="C57" s="133"/>
    </row>
    <row r="58" spans="1:4" x14ac:dyDescent="0.3">
      <c r="A58" s="73" t="s">
        <v>159</v>
      </c>
      <c r="B58" s="136">
        <v>13565</v>
      </c>
      <c r="C58" s="133"/>
    </row>
    <row r="59" spans="1:4" x14ac:dyDescent="0.3">
      <c r="A59" s="73" t="s">
        <v>160</v>
      </c>
      <c r="B59" s="136">
        <v>43843</v>
      </c>
      <c r="C59" s="133"/>
      <c r="D59" s="21"/>
    </row>
    <row r="60" spans="1:4" x14ac:dyDescent="0.3">
      <c r="A60" s="73" t="s">
        <v>26</v>
      </c>
      <c r="B60" s="136">
        <v>3783</v>
      </c>
      <c r="C60" s="133"/>
    </row>
    <row r="61" spans="1:4" x14ac:dyDescent="0.3">
      <c r="A61" s="73" t="s">
        <v>167</v>
      </c>
      <c r="B61" s="136">
        <v>4262</v>
      </c>
      <c r="C61" s="133"/>
    </row>
    <row r="62" spans="1:4" x14ac:dyDescent="0.3">
      <c r="A62" s="85" t="s">
        <v>177</v>
      </c>
      <c r="B62" s="136">
        <v>1735</v>
      </c>
      <c r="C62" s="133"/>
    </row>
    <row r="63" spans="1:4" x14ac:dyDescent="0.3">
      <c r="A63" s="73" t="s">
        <v>5</v>
      </c>
      <c r="B63" s="136">
        <v>5814.77</v>
      </c>
      <c r="C63" s="133"/>
    </row>
    <row r="64" spans="1:4" x14ac:dyDescent="0.3">
      <c r="A64" s="73" t="s">
        <v>6</v>
      </c>
      <c r="B64" s="136">
        <v>2800</v>
      </c>
      <c r="C64" s="133"/>
    </row>
    <row r="65" spans="1:9" x14ac:dyDescent="0.3">
      <c r="A65" s="73" t="s">
        <v>213</v>
      </c>
      <c r="B65" s="136">
        <v>5333</v>
      </c>
      <c r="C65" s="133"/>
    </row>
    <row r="66" spans="1:9" x14ac:dyDescent="0.3">
      <c r="A66" s="73" t="s">
        <v>166</v>
      </c>
      <c r="B66" s="136">
        <v>3300</v>
      </c>
      <c r="C66" s="133"/>
      <c r="H66" s="232"/>
    </row>
    <row r="67" spans="1:9" x14ac:dyDescent="0.3">
      <c r="A67" s="73" t="s">
        <v>170</v>
      </c>
      <c r="B67" s="136">
        <v>6206</v>
      </c>
      <c r="C67" s="133"/>
    </row>
    <row r="68" spans="1:9" x14ac:dyDescent="0.3">
      <c r="A68" s="73" t="s">
        <v>172</v>
      </c>
      <c r="B68" s="136">
        <v>3892</v>
      </c>
      <c r="C68" s="133"/>
    </row>
    <row r="69" spans="1:9" x14ac:dyDescent="0.3">
      <c r="A69" s="73" t="s">
        <v>171</v>
      </c>
      <c r="B69" s="136">
        <v>905</v>
      </c>
      <c r="C69" s="133"/>
      <c r="D69" s="35"/>
    </row>
    <row r="70" spans="1:9" x14ac:dyDescent="0.3">
      <c r="A70" s="73" t="s">
        <v>173</v>
      </c>
      <c r="B70" s="136">
        <v>3201</v>
      </c>
      <c r="C70" s="133"/>
    </row>
    <row r="71" spans="1:9" x14ac:dyDescent="0.3">
      <c r="A71" s="73" t="s">
        <v>163</v>
      </c>
      <c r="B71" s="136">
        <v>7007</v>
      </c>
      <c r="C71" s="133"/>
    </row>
    <row r="72" spans="1:9" x14ac:dyDescent="0.3">
      <c r="A72" s="73" t="s">
        <v>164</v>
      </c>
      <c r="B72" s="136">
        <v>6009</v>
      </c>
      <c r="C72" s="133"/>
    </row>
    <row r="73" spans="1:9" x14ac:dyDescent="0.3">
      <c r="A73" s="73" t="s">
        <v>165</v>
      </c>
      <c r="B73" s="136">
        <v>9933</v>
      </c>
      <c r="C73" s="133"/>
    </row>
    <row r="74" spans="1:9" x14ac:dyDescent="0.3">
      <c r="A74" s="73" t="s">
        <v>162</v>
      </c>
      <c r="B74" s="136">
        <v>10230</v>
      </c>
      <c r="C74" s="133"/>
      <c r="D74" s="230"/>
    </row>
    <row r="75" spans="1:9" x14ac:dyDescent="0.3">
      <c r="A75" s="173" t="s">
        <v>194</v>
      </c>
      <c r="B75" s="136"/>
      <c r="C75" s="169">
        <f>SUM(B45:B74)</f>
        <v>283192.77</v>
      </c>
      <c r="D75" s="147"/>
      <c r="I75" s="169"/>
    </row>
    <row r="76" spans="1:9" x14ac:dyDescent="0.3">
      <c r="A76" s="75" t="s">
        <v>27</v>
      </c>
      <c r="B76" s="140"/>
      <c r="C76" s="170">
        <f>SUM(C18:C75)</f>
        <v>934173.55072499998</v>
      </c>
      <c r="D76" s="7"/>
      <c r="I76" s="35"/>
    </row>
    <row r="77" spans="1:9" ht="14.4" customHeight="1" thickBot="1" x14ac:dyDescent="0.35">
      <c r="A77" s="86" t="s">
        <v>200</v>
      </c>
      <c r="B77" s="144"/>
      <c r="C77" s="174">
        <f>C15 - C76</f>
        <v>63978.065274999943</v>
      </c>
      <c r="D77" s="238"/>
      <c r="F77" s="231"/>
      <c r="I77" s="35"/>
    </row>
    <row r="78" spans="1:9" x14ac:dyDescent="0.3">
      <c r="F78" s="231"/>
      <c r="I78" s="35"/>
    </row>
    <row r="79" spans="1:9" x14ac:dyDescent="0.3">
      <c r="D79" s="237"/>
      <c r="I79" s="35"/>
    </row>
  </sheetData>
  <mergeCells count="3">
    <mergeCell ref="A1:C1"/>
    <mergeCell ref="A3:C3"/>
    <mergeCell ref="A4:C4"/>
  </mergeCells>
  <pageMargins left="0.7" right="0.7" top="0.75" bottom="0.7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20"/>
  <sheetViews>
    <sheetView workbookViewId="0">
      <selection activeCell="A15" sqref="A15"/>
    </sheetView>
  </sheetViews>
  <sheetFormatPr defaultRowHeight="14.4" x14ac:dyDescent="0.3"/>
  <cols>
    <col min="1" max="1" width="50.5546875" customWidth="1"/>
    <col min="2" max="2" width="14.88671875" customWidth="1"/>
    <col min="3" max="3" width="14.5546875" customWidth="1"/>
  </cols>
  <sheetData>
    <row r="1" spans="1:6" ht="15" x14ac:dyDescent="0.25">
      <c r="A1" s="408" t="s">
        <v>104</v>
      </c>
      <c r="B1" s="408"/>
      <c r="C1" s="408"/>
      <c r="D1" s="8"/>
      <c r="E1" s="8"/>
      <c r="F1" s="8"/>
    </row>
    <row r="2" spans="1:6" ht="15" x14ac:dyDescent="0.25">
      <c r="A2" s="223" t="s">
        <v>49</v>
      </c>
      <c r="B2" s="221"/>
      <c r="C2" s="221"/>
      <c r="D2" s="8"/>
      <c r="E2" s="8"/>
      <c r="F2" s="8"/>
    </row>
    <row r="3" spans="1:6" ht="15" x14ac:dyDescent="0.25">
      <c r="A3" s="225"/>
      <c r="B3" s="225"/>
      <c r="C3" s="225"/>
      <c r="D3" s="8"/>
      <c r="E3" s="8"/>
      <c r="F3" s="8"/>
    </row>
    <row r="4" spans="1:6" ht="15" x14ac:dyDescent="0.25">
      <c r="A4" s="224" t="s">
        <v>145</v>
      </c>
      <c r="B4" s="224"/>
      <c r="C4" s="224"/>
      <c r="D4" s="8"/>
      <c r="E4" s="8"/>
      <c r="F4" s="8"/>
    </row>
    <row r="5" spans="1:6" ht="15" x14ac:dyDescent="0.25">
      <c r="A5" s="8" t="s">
        <v>327</v>
      </c>
      <c r="B5" s="8"/>
      <c r="C5" s="8"/>
      <c r="D5" s="8"/>
      <c r="E5" s="8"/>
      <c r="F5" s="8"/>
    </row>
    <row r="6" spans="1:6" ht="15" x14ac:dyDescent="0.25">
      <c r="A6" s="8"/>
      <c r="B6" s="8"/>
      <c r="C6" s="8"/>
      <c r="D6" s="8"/>
      <c r="E6" s="8"/>
      <c r="F6" s="8"/>
    </row>
    <row r="7" spans="1:6" ht="15" x14ac:dyDescent="0.25">
      <c r="A7" s="223" t="s">
        <v>204</v>
      </c>
      <c r="B7" s="8"/>
      <c r="C7" s="8"/>
      <c r="D7" s="8"/>
      <c r="E7" s="8"/>
      <c r="F7" s="8"/>
    </row>
    <row r="8" spans="1:6" x14ac:dyDescent="0.35">
      <c r="A8" s="8" t="s">
        <v>10</v>
      </c>
      <c r="B8" s="201">
        <v>111387</v>
      </c>
      <c r="C8" s="8"/>
      <c r="D8" s="8"/>
      <c r="E8" s="8"/>
      <c r="F8" s="8"/>
    </row>
    <row r="9" spans="1:6" x14ac:dyDescent="0.35">
      <c r="A9" s="8" t="s">
        <v>196</v>
      </c>
      <c r="B9" s="201">
        <v>368866</v>
      </c>
      <c r="C9" s="8"/>
      <c r="D9" s="8"/>
      <c r="E9" s="8"/>
      <c r="F9" s="8"/>
    </row>
    <row r="10" spans="1:6" x14ac:dyDescent="0.35">
      <c r="A10" s="8" t="s">
        <v>144</v>
      </c>
      <c r="B10" s="201">
        <v>-112085</v>
      </c>
      <c r="C10" s="8"/>
      <c r="D10" s="8"/>
      <c r="E10" s="201"/>
      <c r="F10" s="8"/>
    </row>
    <row r="11" spans="1:6" x14ac:dyDescent="0.35">
      <c r="A11" s="227" t="s">
        <v>188</v>
      </c>
      <c r="B11" s="226">
        <f>SUM(B8:B10)</f>
        <v>368168</v>
      </c>
      <c r="C11" s="8"/>
      <c r="D11" s="8"/>
      <c r="E11" s="8"/>
      <c r="F11" s="8"/>
    </row>
    <row r="12" spans="1:6" x14ac:dyDescent="0.35">
      <c r="A12" s="8"/>
      <c r="B12" s="8"/>
      <c r="C12" s="8"/>
      <c r="D12" s="8"/>
      <c r="E12" s="8"/>
      <c r="F12" s="8"/>
    </row>
    <row r="13" spans="1:6" x14ac:dyDescent="0.35">
      <c r="A13" s="223" t="s">
        <v>189</v>
      </c>
      <c r="B13" s="8"/>
      <c r="C13" s="8"/>
      <c r="D13" s="8"/>
      <c r="E13" s="8"/>
      <c r="F13" s="8"/>
    </row>
    <row r="14" spans="1:6" ht="15" x14ac:dyDescent="0.25">
      <c r="A14" t="s">
        <v>209</v>
      </c>
      <c r="B14" s="35">
        <v>38332</v>
      </c>
    </row>
    <row r="15" spans="1:6" ht="15" x14ac:dyDescent="0.25">
      <c r="B15" s="35"/>
    </row>
    <row r="16" spans="1:6" ht="15" x14ac:dyDescent="0.25">
      <c r="B16" s="35"/>
    </row>
    <row r="17" spans="1:2" ht="15" x14ac:dyDescent="0.25">
      <c r="A17" s="9" t="s">
        <v>190</v>
      </c>
      <c r="B17" s="226">
        <f>SUM(B14:B16)</f>
        <v>38332</v>
      </c>
    </row>
    <row r="19" spans="1:2" ht="15.75" thickBot="1" x14ac:dyDescent="0.3">
      <c r="A19" s="9" t="s">
        <v>191</v>
      </c>
      <c r="B19" s="228">
        <f>B11+B17</f>
        <v>406500</v>
      </c>
    </row>
    <row r="20" spans="1:2" ht="15.75" thickTop="1" x14ac:dyDescent="0.25"/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/>
  </sheetPr>
  <dimension ref="A1:N36"/>
  <sheetViews>
    <sheetView workbookViewId="0">
      <selection activeCell="A25" sqref="A25:G27"/>
    </sheetView>
  </sheetViews>
  <sheetFormatPr defaultRowHeight="14.4" x14ac:dyDescent="0.3"/>
  <cols>
    <col min="3" max="3" width="13.109375" customWidth="1"/>
    <col min="4" max="4" width="12.5546875" bestFit="1" customWidth="1"/>
    <col min="5" max="5" width="11.5546875" bestFit="1" customWidth="1"/>
    <col min="6" max="7" width="13.44140625" customWidth="1"/>
    <col min="8" max="8" width="15.44140625" customWidth="1"/>
    <col min="9" max="9" width="7" customWidth="1"/>
    <col min="10" max="10" width="16.109375" customWidth="1"/>
    <col min="11" max="11" width="15.88671875" customWidth="1"/>
    <col min="12" max="12" width="14.88671875" customWidth="1"/>
    <col min="13" max="13" width="15.109375" customWidth="1"/>
  </cols>
  <sheetData>
    <row r="1" spans="1:13" ht="15" customHeight="1" x14ac:dyDescent="0.25">
      <c r="A1" s="409" t="s">
        <v>104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1:13" ht="15" x14ac:dyDescent="0.25">
      <c r="A2" s="410" t="s">
        <v>49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</row>
    <row r="4" spans="1:13" ht="15" x14ac:dyDescent="0.25">
      <c r="A4" s="10" t="s">
        <v>11</v>
      </c>
    </row>
    <row r="6" spans="1:13" ht="15" x14ac:dyDescent="0.25">
      <c r="A6" t="s">
        <v>335</v>
      </c>
    </row>
    <row r="8" spans="1:13" x14ac:dyDescent="0.35">
      <c r="F8" s="148" t="s">
        <v>130</v>
      </c>
      <c r="G8" s="148" t="s">
        <v>132</v>
      </c>
      <c r="H8" s="148" t="s">
        <v>12</v>
      </c>
      <c r="J8" t="s">
        <v>133</v>
      </c>
      <c r="K8" t="s">
        <v>208</v>
      </c>
      <c r="L8" t="s">
        <v>208</v>
      </c>
    </row>
    <row r="9" spans="1:13" x14ac:dyDescent="0.35">
      <c r="A9" s="9" t="s">
        <v>134</v>
      </c>
      <c r="F9" s="148" t="s">
        <v>131</v>
      </c>
      <c r="G9" s="148" t="s">
        <v>131</v>
      </c>
      <c r="H9" s="148" t="s">
        <v>131</v>
      </c>
    </row>
    <row r="10" spans="1:13" x14ac:dyDescent="0.35">
      <c r="F10" s="253">
        <v>1404651.7683000003</v>
      </c>
      <c r="G10" s="252">
        <v>140465.17683000001</v>
      </c>
      <c r="H10" s="252">
        <v>1545116.9451300001</v>
      </c>
      <c r="I10" s="249"/>
      <c r="J10" s="250">
        <v>10295</v>
      </c>
      <c r="K10" s="251">
        <f>F10/J10</f>
        <v>136.44019118989803</v>
      </c>
      <c r="L10" s="256">
        <f>H10/J10</f>
        <v>150.08421030888783</v>
      </c>
    </row>
    <row r="11" spans="1:13" x14ac:dyDescent="0.35">
      <c r="H11" s="48"/>
      <c r="I11" s="48"/>
      <c r="J11" s="61"/>
      <c r="K11" s="61"/>
      <c r="L11" s="61"/>
      <c r="M11" s="236"/>
    </row>
    <row r="12" spans="1:13" x14ac:dyDescent="0.35">
      <c r="A12" s="9" t="s">
        <v>135</v>
      </c>
      <c r="H12" s="48"/>
      <c r="I12" s="48"/>
      <c r="J12" s="61"/>
      <c r="K12" s="163"/>
      <c r="L12" s="61"/>
    </row>
    <row r="13" spans="1:13" x14ac:dyDescent="0.35">
      <c r="C13" t="s">
        <v>136</v>
      </c>
      <c r="H13" s="162">
        <v>220424.25900000002</v>
      </c>
      <c r="J13" s="61"/>
      <c r="K13" s="61"/>
      <c r="L13" s="61"/>
    </row>
    <row r="14" spans="1:13" x14ac:dyDescent="0.35">
      <c r="C14" t="s">
        <v>137</v>
      </c>
      <c r="H14" s="162">
        <v>718706</v>
      </c>
      <c r="J14" s="61"/>
      <c r="K14" s="61"/>
      <c r="L14" s="61"/>
    </row>
    <row r="15" spans="1:13" x14ac:dyDescent="0.35">
      <c r="C15" t="s">
        <v>138</v>
      </c>
      <c r="H15" s="162">
        <v>128556</v>
      </c>
      <c r="J15" s="61"/>
      <c r="K15" s="61"/>
      <c r="L15" s="61"/>
    </row>
    <row r="16" spans="1:13" x14ac:dyDescent="0.35">
      <c r="C16" t="s">
        <v>139</v>
      </c>
      <c r="F16" s="8"/>
      <c r="G16" s="8"/>
      <c r="H16" s="161">
        <v>377918.86</v>
      </c>
      <c r="J16" s="61"/>
      <c r="K16" s="61"/>
      <c r="L16" s="61"/>
    </row>
    <row r="17" spans="1:14" x14ac:dyDescent="0.35">
      <c r="F17" s="8"/>
      <c r="G17" s="8"/>
      <c r="H17" s="254">
        <f>SUM(H13:H16)</f>
        <v>1445605.1189999999</v>
      </c>
      <c r="I17" s="48"/>
      <c r="J17" s="61"/>
      <c r="K17" s="61"/>
      <c r="L17" s="61"/>
    </row>
    <row r="18" spans="1:14" x14ac:dyDescent="0.35">
      <c r="H18" s="48"/>
      <c r="I18" s="48"/>
      <c r="J18" s="61"/>
      <c r="K18" s="61"/>
      <c r="L18" s="163"/>
      <c r="M18" s="9"/>
      <c r="N18" s="9"/>
    </row>
    <row r="19" spans="1:14" x14ac:dyDescent="0.35">
      <c r="G19" s="166" t="s">
        <v>143</v>
      </c>
      <c r="H19" s="160">
        <v>102869</v>
      </c>
      <c r="I19" s="48"/>
      <c r="J19" s="61"/>
      <c r="K19" s="61"/>
      <c r="L19" s="163"/>
      <c r="M19" s="9"/>
      <c r="N19" s="9"/>
    </row>
    <row r="20" spans="1:14" x14ac:dyDescent="0.35">
      <c r="G20" s="166" t="s">
        <v>140</v>
      </c>
      <c r="H20" s="165">
        <f>H10</f>
        <v>1545116.9451300001</v>
      </c>
      <c r="I20" s="48"/>
      <c r="J20" s="61"/>
      <c r="K20" s="61"/>
      <c r="L20" s="163"/>
      <c r="M20" s="9"/>
      <c r="N20" s="9"/>
    </row>
    <row r="21" spans="1:14" x14ac:dyDescent="0.35">
      <c r="G21" s="166" t="s">
        <v>141</v>
      </c>
      <c r="H21" s="160">
        <f>-H17</f>
        <v>-1445605.1189999999</v>
      </c>
      <c r="I21" s="48"/>
      <c r="J21" s="61"/>
      <c r="K21" s="61"/>
      <c r="L21" s="163"/>
      <c r="M21" s="9"/>
      <c r="N21" s="9"/>
    </row>
    <row r="22" spans="1:14" ht="15" thickBot="1" x14ac:dyDescent="0.4">
      <c r="E22" s="9"/>
      <c r="F22" s="9"/>
      <c r="G22" s="167" t="s">
        <v>142</v>
      </c>
      <c r="H22" s="255">
        <f>SUM(H19:H21)</f>
        <v>202380.82613000018</v>
      </c>
      <c r="I22" s="48"/>
      <c r="J22" s="61"/>
      <c r="K22" s="61"/>
      <c r="L22" s="163"/>
      <c r="M22" s="9"/>
      <c r="N22" s="9"/>
    </row>
    <row r="23" spans="1:14" x14ac:dyDescent="0.35">
      <c r="G23" s="166"/>
      <c r="H23" s="49"/>
      <c r="I23" s="48"/>
      <c r="J23" s="61"/>
      <c r="K23" s="61"/>
      <c r="L23" s="163"/>
      <c r="M23" s="9"/>
      <c r="N23" s="9"/>
    </row>
    <row r="24" spans="1:14" x14ac:dyDescent="0.35">
      <c r="J24" s="44"/>
      <c r="K24" s="234"/>
      <c r="L24" s="44"/>
    </row>
    <row r="25" spans="1:14" x14ac:dyDescent="0.3">
      <c r="A25" s="12" t="s">
        <v>211</v>
      </c>
      <c r="B25" s="12"/>
      <c r="C25" s="12" t="s">
        <v>12</v>
      </c>
      <c r="D25" s="12" t="s">
        <v>110</v>
      </c>
      <c r="E25" s="12" t="s">
        <v>111</v>
      </c>
      <c r="F25" s="12" t="s">
        <v>112</v>
      </c>
      <c r="G25" s="12" t="s">
        <v>113</v>
      </c>
      <c r="H25" s="12"/>
      <c r="I25" s="12"/>
      <c r="J25" s="12"/>
      <c r="K25" s="235"/>
      <c r="L25" s="12"/>
    </row>
    <row r="26" spans="1:14" x14ac:dyDescent="0.3">
      <c r="A26" s="31"/>
      <c r="B26" s="31"/>
      <c r="C26" s="382">
        <v>202380.82613000018</v>
      </c>
      <c r="D26" s="382">
        <v>101190.41306500009</v>
      </c>
      <c r="E26" s="382">
        <v>50595.206532500044</v>
      </c>
      <c r="F26" s="382">
        <v>20238.082613000021</v>
      </c>
      <c r="G26" s="382">
        <v>30357.123919500023</v>
      </c>
      <c r="H26" s="146"/>
      <c r="I26" s="31"/>
      <c r="J26" s="31"/>
      <c r="K26" s="31"/>
      <c r="L26" s="31"/>
    </row>
    <row r="27" spans="1:14" x14ac:dyDescent="0.3">
      <c r="A27" s="8"/>
      <c r="B27" s="8"/>
      <c r="C27" s="383">
        <f>C26/$C$26</f>
        <v>1</v>
      </c>
      <c r="D27" s="383">
        <f t="shared" ref="D27:G27" si="0">D26/$C$26</f>
        <v>0.5</v>
      </c>
      <c r="E27" s="383">
        <f t="shared" si="0"/>
        <v>0.25</v>
      </c>
      <c r="F27" s="383">
        <f t="shared" si="0"/>
        <v>0.10000000000000002</v>
      </c>
      <c r="G27" s="383">
        <f t="shared" si="0"/>
        <v>0.15</v>
      </c>
      <c r="H27" s="8"/>
      <c r="I27" s="8"/>
      <c r="J27" s="8"/>
      <c r="K27" s="8"/>
      <c r="L27" s="8"/>
    </row>
    <row r="28" spans="1:14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4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4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4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4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</sheetData>
  <mergeCells count="2">
    <mergeCell ref="A1:K1"/>
    <mergeCell ref="A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7" tint="0.39997558519241921"/>
  </sheetPr>
  <dimension ref="A1:Z43"/>
  <sheetViews>
    <sheetView workbookViewId="0">
      <selection activeCell="T33" sqref="T33"/>
    </sheetView>
  </sheetViews>
  <sheetFormatPr defaultRowHeight="14.4" x14ac:dyDescent="0.3"/>
  <cols>
    <col min="2" max="2" width="15.88671875" customWidth="1"/>
    <col min="3" max="3" width="11.5546875" bestFit="1" customWidth="1"/>
    <col min="4" max="4" width="14.44140625" bestFit="1" customWidth="1"/>
    <col min="5" max="5" width="13.44140625" bestFit="1" customWidth="1"/>
    <col min="6" max="6" width="10" bestFit="1" customWidth="1"/>
    <col min="7" max="7" width="9.109375" customWidth="1"/>
    <col min="8" max="8" width="11.5546875" bestFit="1" customWidth="1"/>
    <col min="9" max="9" width="9.5546875" bestFit="1" customWidth="1"/>
    <col min="10" max="10" width="9.44140625" bestFit="1" customWidth="1"/>
    <col min="11" max="11" width="11.5546875" bestFit="1" customWidth="1"/>
    <col min="12" max="12" width="9.5546875" bestFit="1" customWidth="1"/>
    <col min="13" max="13" width="9.44140625" bestFit="1" customWidth="1"/>
    <col min="14" max="14" width="11.5546875" bestFit="1" customWidth="1"/>
    <col min="15" max="15" width="9.5546875" bestFit="1" customWidth="1"/>
    <col min="16" max="16" width="9.44140625" bestFit="1" customWidth="1"/>
    <col min="17" max="17" width="10.5546875" bestFit="1" customWidth="1"/>
    <col min="18" max="19" width="9.44140625" bestFit="1" customWidth="1"/>
    <col min="20" max="20" width="10.5546875" bestFit="1" customWidth="1"/>
    <col min="21" max="21" width="9.5546875" bestFit="1" customWidth="1"/>
    <col min="22" max="22" width="9.44140625" bestFit="1" customWidth="1"/>
    <col min="23" max="23" width="12.88671875" customWidth="1"/>
    <col min="24" max="24" width="9.5546875" bestFit="1" customWidth="1"/>
  </cols>
  <sheetData>
    <row r="1" spans="1:26" ht="15" customHeight="1" x14ac:dyDescent="0.25">
      <c r="A1" s="26" t="s">
        <v>212</v>
      </c>
      <c r="B1" s="27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6" ht="15" x14ac:dyDescent="0.25">
      <c r="A2" s="9" t="s">
        <v>49</v>
      </c>
      <c r="B2" s="9"/>
      <c r="C2" s="9"/>
      <c r="D2" s="9"/>
      <c r="E2" s="9" t="s">
        <v>49</v>
      </c>
      <c r="F2" s="9"/>
      <c r="G2" s="9"/>
      <c r="H2" s="9"/>
      <c r="I2" s="23"/>
      <c r="J2" s="23"/>
      <c r="K2" s="23"/>
      <c r="L2" s="23"/>
    </row>
    <row r="4" spans="1:26" ht="15" x14ac:dyDescent="0.25">
      <c r="A4" t="s">
        <v>28</v>
      </c>
      <c r="P4" t="s">
        <v>29</v>
      </c>
    </row>
    <row r="5" spans="1:26" ht="15" x14ac:dyDescent="0.25">
      <c r="A5" t="s">
        <v>327</v>
      </c>
      <c r="P5" t="s">
        <v>30</v>
      </c>
    </row>
    <row r="6" spans="1:26" ht="15" x14ac:dyDescent="0.25">
      <c r="P6" t="s">
        <v>31</v>
      </c>
    </row>
    <row r="7" spans="1:26" ht="15" x14ac:dyDescent="0.25">
      <c r="P7" t="s">
        <v>32</v>
      </c>
    </row>
    <row r="10" spans="1:26" ht="15.75" customHeight="1" thickBot="1" x14ac:dyDescent="0.4">
      <c r="A10" s="6"/>
      <c r="B10" s="417" t="s">
        <v>50</v>
      </c>
      <c r="C10" s="418"/>
      <c r="D10" s="419"/>
      <c r="E10" s="419" t="s">
        <v>53</v>
      </c>
      <c r="F10" s="420"/>
      <c r="G10" s="420"/>
      <c r="H10" s="420" t="s">
        <v>51</v>
      </c>
      <c r="I10" s="420"/>
      <c r="J10" s="420"/>
      <c r="K10" s="420" t="s">
        <v>207</v>
      </c>
      <c r="L10" s="420"/>
      <c r="M10" s="420"/>
      <c r="N10" s="420" t="s">
        <v>52</v>
      </c>
      <c r="O10" s="420"/>
      <c r="P10" s="420"/>
      <c r="Q10" s="417" t="s">
        <v>54</v>
      </c>
      <c r="R10" s="418"/>
      <c r="S10" s="419"/>
      <c r="T10" s="32" t="s">
        <v>63</v>
      </c>
      <c r="U10" s="33"/>
      <c r="V10" s="34"/>
      <c r="W10" s="34" t="s">
        <v>68</v>
      </c>
      <c r="X10" s="248" t="s">
        <v>206</v>
      </c>
      <c r="Y10" s="244"/>
      <c r="Z10" s="6"/>
    </row>
    <row r="11" spans="1:26" x14ac:dyDescent="0.35">
      <c r="A11" s="42" t="s">
        <v>33</v>
      </c>
      <c r="B11" s="188">
        <v>12182.280000000002</v>
      </c>
      <c r="C11" s="51"/>
      <c r="D11" s="51"/>
      <c r="E11" s="188">
        <v>2487.7600000000007</v>
      </c>
      <c r="F11" s="51"/>
      <c r="G11" s="51"/>
      <c r="H11" s="188">
        <v>5683.3700000000017</v>
      </c>
      <c r="I11" s="51"/>
      <c r="J11" s="51"/>
      <c r="K11" s="188">
        <v>3263.3700000000003</v>
      </c>
      <c r="L11" s="51"/>
      <c r="M11" s="51"/>
      <c r="N11" s="188">
        <v>1534.2800000000004</v>
      </c>
      <c r="O11" s="51"/>
      <c r="P11" s="51"/>
      <c r="Q11" s="188">
        <v>0</v>
      </c>
      <c r="R11" s="51"/>
      <c r="S11" s="51"/>
      <c r="T11" s="188">
        <v>0</v>
      </c>
      <c r="U11" s="51"/>
      <c r="V11" s="52"/>
      <c r="W11" s="193">
        <f t="shared" ref="W11:W18" si="0">SUM(B11:U11)</f>
        <v>25151.06</v>
      </c>
      <c r="X11" s="41">
        <v>15</v>
      </c>
      <c r="Y11" s="56">
        <f t="shared" ref="Y11:Y21" si="1">W11/X11</f>
        <v>1676.7373333333335</v>
      </c>
      <c r="Z11" s="40" t="s">
        <v>33</v>
      </c>
    </row>
    <row r="12" spans="1:26" ht="15" x14ac:dyDescent="0.25">
      <c r="A12" s="47" t="s">
        <v>34</v>
      </c>
      <c r="B12" s="189">
        <v>0</v>
      </c>
      <c r="C12" s="44"/>
      <c r="D12" s="44"/>
      <c r="E12" s="189">
        <v>0</v>
      </c>
      <c r="F12" s="44"/>
      <c r="G12" s="44"/>
      <c r="H12" s="189">
        <v>487.63000000000005</v>
      </c>
      <c r="I12" s="44"/>
      <c r="J12" s="44"/>
      <c r="K12" s="189">
        <v>160.93000000000004</v>
      </c>
      <c r="L12" s="44"/>
      <c r="M12" s="44"/>
      <c r="N12" s="189">
        <v>487.63000000000005</v>
      </c>
      <c r="O12" s="44"/>
      <c r="P12" s="44"/>
      <c r="Q12" s="189">
        <v>180.29000000000002</v>
      </c>
      <c r="R12" s="44"/>
      <c r="S12" s="44"/>
      <c r="T12" s="189">
        <v>573.54000000000019</v>
      </c>
      <c r="U12" s="44"/>
      <c r="V12" s="53"/>
      <c r="W12" s="194">
        <f t="shared" si="0"/>
        <v>1890.0200000000002</v>
      </c>
      <c r="X12" s="45">
        <v>47</v>
      </c>
      <c r="Y12" s="57">
        <f t="shared" si="1"/>
        <v>40.213191489361705</v>
      </c>
      <c r="Z12" s="46" t="s">
        <v>34</v>
      </c>
    </row>
    <row r="13" spans="1:26" ht="15" x14ac:dyDescent="0.25">
      <c r="A13" s="47" t="s">
        <v>35</v>
      </c>
      <c r="B13" s="189">
        <v>364.21000000000004</v>
      </c>
      <c r="C13" s="44"/>
      <c r="D13" s="44"/>
      <c r="E13" s="189">
        <v>364.21000000000004</v>
      </c>
      <c r="F13" s="44"/>
      <c r="G13" s="44"/>
      <c r="H13" s="189">
        <v>68314.180000000008</v>
      </c>
      <c r="I13" s="44"/>
      <c r="J13" s="44"/>
      <c r="K13" s="189">
        <v>68323.860000000015</v>
      </c>
      <c r="L13" s="44"/>
      <c r="M13" s="44"/>
      <c r="N13" s="189">
        <v>30817.490000000005</v>
      </c>
      <c r="O13" s="44"/>
      <c r="P13" s="44"/>
      <c r="Q13" s="189">
        <v>4181.7600000000011</v>
      </c>
      <c r="R13" s="44"/>
      <c r="S13" s="44"/>
      <c r="T13" s="189">
        <v>1028.5000000000002</v>
      </c>
      <c r="U13" s="44"/>
      <c r="V13" s="53"/>
      <c r="W13" s="194">
        <f t="shared" si="0"/>
        <v>173394.21000000002</v>
      </c>
      <c r="X13" s="45">
        <v>1635</v>
      </c>
      <c r="Y13" s="57">
        <f t="shared" si="1"/>
        <v>106.05150458715597</v>
      </c>
      <c r="Z13" s="46" t="s">
        <v>35</v>
      </c>
    </row>
    <row r="14" spans="1:26" ht="15" x14ac:dyDescent="0.25">
      <c r="A14" s="42" t="s">
        <v>36</v>
      </c>
      <c r="B14" s="190">
        <v>72524.98000000001</v>
      </c>
      <c r="C14" s="37"/>
      <c r="D14" s="37"/>
      <c r="E14" s="190">
        <v>61575.69000000001</v>
      </c>
      <c r="F14" s="37"/>
      <c r="G14" s="37"/>
      <c r="H14" s="190">
        <v>31303.910000000003</v>
      </c>
      <c r="I14" s="37"/>
      <c r="J14" s="37"/>
      <c r="K14" s="190">
        <v>31303.910000000003</v>
      </c>
      <c r="L14" s="37"/>
      <c r="M14" s="37"/>
      <c r="N14" s="190">
        <v>131303.91</v>
      </c>
      <c r="O14" s="37"/>
      <c r="P14" s="37"/>
      <c r="Q14" s="190">
        <v>0</v>
      </c>
      <c r="R14" s="37"/>
      <c r="S14" s="37"/>
      <c r="T14" s="190">
        <v>0</v>
      </c>
      <c r="U14" s="37"/>
      <c r="V14" s="54"/>
      <c r="W14" s="193">
        <f t="shared" si="0"/>
        <v>328012.40000000002</v>
      </c>
      <c r="X14" s="41">
        <v>257</v>
      </c>
      <c r="Y14" s="56">
        <f t="shared" si="1"/>
        <v>1276.3128404669262</v>
      </c>
      <c r="Z14" s="40" t="s">
        <v>36</v>
      </c>
    </row>
    <row r="15" spans="1:26" ht="15" x14ac:dyDescent="0.25">
      <c r="A15" s="47" t="s">
        <v>37</v>
      </c>
      <c r="B15" s="189">
        <v>12103.630000000003</v>
      </c>
      <c r="C15" s="44"/>
      <c r="D15" s="44"/>
      <c r="E15" s="189">
        <v>22151.47</v>
      </c>
      <c r="F15" s="44"/>
      <c r="G15" s="44"/>
      <c r="H15" s="189">
        <v>298130.69000000006</v>
      </c>
      <c r="I15" s="44"/>
      <c r="J15" s="44"/>
      <c r="K15" s="189">
        <v>222246.75000000006</v>
      </c>
      <c r="L15" s="44"/>
      <c r="M15" s="44"/>
      <c r="N15" s="189">
        <v>79188.899999999994</v>
      </c>
      <c r="O15" s="44"/>
      <c r="P15" s="44"/>
      <c r="Q15" s="189">
        <v>30228.83</v>
      </c>
      <c r="R15" s="44"/>
      <c r="S15" s="44"/>
      <c r="T15" s="192">
        <v>8705.83</v>
      </c>
      <c r="U15" s="44"/>
      <c r="V15" s="53"/>
      <c r="W15" s="194">
        <f t="shared" si="0"/>
        <v>672756.1</v>
      </c>
      <c r="X15" s="45">
        <v>5890</v>
      </c>
      <c r="Y15" s="57">
        <f t="shared" si="1"/>
        <v>114.22005093378607</v>
      </c>
      <c r="Z15" s="46" t="s">
        <v>37</v>
      </c>
    </row>
    <row r="16" spans="1:26" s="7" customFormat="1" ht="15" x14ac:dyDescent="0.25">
      <c r="A16" s="42" t="s">
        <v>38</v>
      </c>
      <c r="B16" s="190">
        <v>133.10000000000002</v>
      </c>
      <c r="C16" s="37"/>
      <c r="D16" s="37"/>
      <c r="E16" s="190">
        <v>133.10000000000002</v>
      </c>
      <c r="F16" s="37"/>
      <c r="G16" s="37"/>
      <c r="H16" s="190">
        <v>2487.7600000000007</v>
      </c>
      <c r="I16" s="37"/>
      <c r="J16" s="37"/>
      <c r="K16" s="190">
        <v>2487.7600000000007</v>
      </c>
      <c r="L16" s="37"/>
      <c r="M16" s="37"/>
      <c r="N16" s="190">
        <v>1277.7600000000002</v>
      </c>
      <c r="O16" s="37"/>
      <c r="P16" s="37"/>
      <c r="Q16" s="190">
        <v>0</v>
      </c>
      <c r="R16" s="37"/>
      <c r="S16" s="37"/>
      <c r="T16" s="190">
        <v>0</v>
      </c>
      <c r="U16" s="37"/>
      <c r="V16" s="54"/>
      <c r="W16" s="193">
        <f t="shared" si="0"/>
        <v>6519.4800000000014</v>
      </c>
      <c r="X16" s="41">
        <v>25</v>
      </c>
      <c r="Y16" s="56">
        <f t="shared" si="1"/>
        <v>260.77920000000006</v>
      </c>
      <c r="Z16" s="40" t="s">
        <v>38</v>
      </c>
    </row>
    <row r="17" spans="1:26" ht="15" x14ac:dyDescent="0.25">
      <c r="A17" s="47" t="s">
        <v>39</v>
      </c>
      <c r="B17" s="189">
        <v>0</v>
      </c>
      <c r="C17" s="44"/>
      <c r="D17" s="44"/>
      <c r="E17" s="189">
        <v>0</v>
      </c>
      <c r="F17" s="44"/>
      <c r="G17" s="44"/>
      <c r="H17" s="189">
        <v>470.69000000000005</v>
      </c>
      <c r="I17" s="44"/>
      <c r="J17" s="44"/>
      <c r="K17" s="189">
        <v>107.69000000000001</v>
      </c>
      <c r="L17" s="44"/>
      <c r="M17" s="44"/>
      <c r="N17" s="189">
        <v>106.48000000000002</v>
      </c>
      <c r="O17" s="44"/>
      <c r="P17" s="44"/>
      <c r="Q17" s="189">
        <v>452.54000000000008</v>
      </c>
      <c r="R17" s="44"/>
      <c r="S17" s="44"/>
      <c r="T17" s="189">
        <v>131.89000000000001</v>
      </c>
      <c r="U17" s="44"/>
      <c r="V17" s="53"/>
      <c r="W17" s="194">
        <f t="shared" si="0"/>
        <v>1269.2900000000002</v>
      </c>
      <c r="X17" s="45">
        <v>20</v>
      </c>
      <c r="Y17" s="57">
        <f t="shared" si="1"/>
        <v>63.464500000000008</v>
      </c>
      <c r="Z17" s="46" t="s">
        <v>39</v>
      </c>
    </row>
    <row r="18" spans="1:26" ht="15" x14ac:dyDescent="0.25">
      <c r="A18" s="42" t="s">
        <v>40</v>
      </c>
      <c r="B18" s="190">
        <v>3630.0000000000009</v>
      </c>
      <c r="C18" s="37"/>
      <c r="D18" s="37"/>
      <c r="E18" s="190">
        <v>2008.6000000000004</v>
      </c>
      <c r="F18" s="37"/>
      <c r="G18" s="37"/>
      <c r="H18" s="190">
        <v>364.21000000000004</v>
      </c>
      <c r="I18" s="37"/>
      <c r="J18" s="37"/>
      <c r="K18" s="190">
        <v>641.30000000000007</v>
      </c>
      <c r="L18" s="37"/>
      <c r="M18" s="37"/>
      <c r="N18" s="190">
        <v>606.21</v>
      </c>
      <c r="O18" s="37"/>
      <c r="P18" s="37"/>
      <c r="Q18" s="190">
        <v>0</v>
      </c>
      <c r="R18" s="37"/>
      <c r="S18" s="37"/>
      <c r="T18" s="190">
        <v>0</v>
      </c>
      <c r="U18" s="37"/>
      <c r="V18" s="54"/>
      <c r="W18" s="193">
        <f t="shared" si="0"/>
        <v>7250.3200000000015</v>
      </c>
      <c r="X18" s="41">
        <v>25</v>
      </c>
      <c r="Y18" s="56">
        <f t="shared" si="1"/>
        <v>290.01280000000008</v>
      </c>
      <c r="Z18" s="40" t="s">
        <v>40</v>
      </c>
    </row>
    <row r="19" spans="1:26" ht="15" x14ac:dyDescent="0.25">
      <c r="A19" s="42" t="s">
        <v>41</v>
      </c>
      <c r="B19" s="190">
        <v>3630.0000000000009</v>
      </c>
      <c r="C19" s="37"/>
      <c r="D19" s="37"/>
      <c r="E19" s="190">
        <v>3141.1600000000008</v>
      </c>
      <c r="F19" s="37"/>
      <c r="G19" s="37"/>
      <c r="H19" s="190">
        <v>18232.280000000006</v>
      </c>
      <c r="I19" s="37"/>
      <c r="J19" s="37"/>
      <c r="K19" s="190">
        <v>32913.210000000006</v>
      </c>
      <c r="L19" s="37"/>
      <c r="M19" s="37"/>
      <c r="N19" s="190">
        <v>20652.280000000006</v>
      </c>
      <c r="O19" s="37"/>
      <c r="P19" s="37"/>
      <c r="Q19" s="190">
        <v>15137.100000000004</v>
      </c>
      <c r="R19" s="37"/>
      <c r="S19" s="37"/>
      <c r="T19" s="190">
        <v>8342.9500000000025</v>
      </c>
      <c r="U19" s="37"/>
      <c r="V19" s="54"/>
      <c r="W19" s="193">
        <v>84338</v>
      </c>
      <c r="X19" s="41">
        <v>457</v>
      </c>
      <c r="Y19" s="56">
        <f t="shared" si="1"/>
        <v>184.54704595185996</v>
      </c>
      <c r="Z19" s="40" t="s">
        <v>41</v>
      </c>
    </row>
    <row r="20" spans="1:26" ht="15" x14ac:dyDescent="0.25">
      <c r="A20" s="42" t="s">
        <v>42</v>
      </c>
      <c r="B20" s="190">
        <v>22143</v>
      </c>
      <c r="C20" s="37"/>
      <c r="D20" s="37"/>
      <c r="E20" s="190">
        <v>35010.140000000007</v>
      </c>
      <c r="F20" s="37"/>
      <c r="G20" s="37"/>
      <c r="H20" s="190">
        <v>16881.920000000002</v>
      </c>
      <c r="I20" s="37"/>
      <c r="J20" s="37"/>
      <c r="K20" s="190">
        <v>14461.920000000002</v>
      </c>
      <c r="L20" s="37"/>
      <c r="M20" s="37"/>
      <c r="N20" s="190">
        <v>14219.920000000002</v>
      </c>
      <c r="O20" s="37"/>
      <c r="P20" s="37"/>
      <c r="Q20" s="190">
        <v>954.69000000000017</v>
      </c>
      <c r="R20" s="37"/>
      <c r="S20" s="37"/>
      <c r="T20" s="190">
        <v>0</v>
      </c>
      <c r="U20" s="37"/>
      <c r="V20" s="54"/>
      <c r="W20" s="193">
        <f>SUM(B20:U20)</f>
        <v>103671.59000000001</v>
      </c>
      <c r="X20" s="41">
        <v>499</v>
      </c>
      <c r="Y20" s="56">
        <f t="shared" si="1"/>
        <v>207.75869739478961</v>
      </c>
      <c r="Z20" s="40" t="s">
        <v>42</v>
      </c>
    </row>
    <row r="21" spans="1:26" ht="15" x14ac:dyDescent="0.25">
      <c r="A21" s="47" t="s">
        <v>43</v>
      </c>
      <c r="B21" s="189">
        <v>0</v>
      </c>
      <c r="C21" s="191"/>
      <c r="D21" s="191"/>
      <c r="E21" s="189">
        <v>0</v>
      </c>
      <c r="F21" s="191"/>
      <c r="G21" s="191"/>
      <c r="H21" s="189">
        <v>133.10000000000002</v>
      </c>
      <c r="I21" s="191"/>
      <c r="J21" s="191"/>
      <c r="K21" s="189">
        <v>133.10000000000002</v>
      </c>
      <c r="L21" s="191"/>
      <c r="M21" s="191"/>
      <c r="N21" s="189">
        <v>133.10000000000002</v>
      </c>
      <c r="O21" s="191"/>
      <c r="P21" s="191"/>
      <c r="Q21" s="189">
        <v>0</v>
      </c>
      <c r="R21" s="191"/>
      <c r="S21" s="191"/>
      <c r="T21" s="189">
        <v>0</v>
      </c>
      <c r="U21" s="44"/>
      <c r="V21" s="53"/>
      <c r="W21" s="194">
        <f>SUM(B21:U21)</f>
        <v>399.30000000000007</v>
      </c>
      <c r="X21" s="45">
        <v>25</v>
      </c>
      <c r="Y21" s="57">
        <f t="shared" si="1"/>
        <v>15.972000000000003</v>
      </c>
      <c r="Z21" s="46" t="s">
        <v>43</v>
      </c>
    </row>
    <row r="22" spans="1:26" ht="15.75" thickBot="1" x14ac:dyDescent="0.3">
      <c r="A22" s="11"/>
      <c r="B22" s="55">
        <f>SUM(B11:B21)</f>
        <v>126711.20000000003</v>
      </c>
      <c r="C22" s="58">
        <v>390</v>
      </c>
      <c r="D22" s="247">
        <f>B22/C22</f>
        <v>324.90051282051292</v>
      </c>
      <c r="E22" s="55">
        <f>SUM(E11:E21)</f>
        <v>126872.13000000003</v>
      </c>
      <c r="F22" s="58">
        <v>370</v>
      </c>
      <c r="G22" s="247">
        <f>E22/F22</f>
        <v>342.89764864864873</v>
      </c>
      <c r="H22" s="55">
        <f>SUM(H11:H21)</f>
        <v>442489.74000000011</v>
      </c>
      <c r="I22" s="58">
        <v>2153</v>
      </c>
      <c r="J22" s="247">
        <f>H22/I22</f>
        <v>205.52240594519282</v>
      </c>
      <c r="K22" s="55">
        <f>SUM(K11:K21)</f>
        <v>376043.80000000005</v>
      </c>
      <c r="L22" s="58">
        <v>2033</v>
      </c>
      <c r="M22" s="247">
        <f>K22/L22</f>
        <v>184.96989670437779</v>
      </c>
      <c r="N22" s="55">
        <f>SUM(N11:N21)</f>
        <v>280327.95999999996</v>
      </c>
      <c r="O22" s="58">
        <v>2050</v>
      </c>
      <c r="P22" s="247">
        <f>N22/O22</f>
        <v>136.7453463414634</v>
      </c>
      <c r="Q22" s="55">
        <f>SUM(Q11:Q21)</f>
        <v>51135.210000000014</v>
      </c>
      <c r="R22" s="58">
        <v>400</v>
      </c>
      <c r="S22" s="247">
        <f>Q22/R22</f>
        <v>127.83802500000003</v>
      </c>
      <c r="T22" s="55">
        <f>SUM(T11:T21)</f>
        <v>18782.710000000003</v>
      </c>
      <c r="U22" s="58">
        <v>2899</v>
      </c>
      <c r="V22" s="246">
        <f>T22/U22</f>
        <v>6.4790307002414638</v>
      </c>
      <c r="W22" s="195">
        <f>SUM(W11:W21)</f>
        <v>1404651.7700000003</v>
      </c>
      <c r="X22" s="59">
        <f>C22 + F22 +I22 +L22 +O22+R22 + U22</f>
        <v>10295</v>
      </c>
      <c r="Y22" s="50"/>
      <c r="Z22" s="50"/>
    </row>
    <row r="23" spans="1:26" ht="15" x14ac:dyDescent="0.25">
      <c r="C23" s="49"/>
      <c r="D23" s="49"/>
      <c r="W23" s="39"/>
      <c r="X23" s="60"/>
    </row>
    <row r="24" spans="1:26" x14ac:dyDescent="0.3">
      <c r="W24" s="191"/>
      <c r="X24" s="44"/>
    </row>
    <row r="25" spans="1:26" x14ac:dyDescent="0.3">
      <c r="B25" t="s">
        <v>69</v>
      </c>
      <c r="C25" s="36" t="s">
        <v>66</v>
      </c>
      <c r="D25" t="s">
        <v>67</v>
      </c>
      <c r="W25" s="196">
        <f>W11+W14+W16+W18+W19+W20</f>
        <v>554942.85</v>
      </c>
      <c r="X25" s="38">
        <f>W25/W27</f>
        <v>0.3950750374746812</v>
      </c>
      <c r="Y25" t="s">
        <v>70</v>
      </c>
    </row>
    <row r="26" spans="1:26" x14ac:dyDescent="0.3">
      <c r="A26" s="6" t="s">
        <v>64</v>
      </c>
      <c r="B26" s="183">
        <f>SUM(C26:D26)</f>
        <v>958968.14999999991</v>
      </c>
      <c r="C26" s="184">
        <f>0.35*C29</f>
        <v>194230.05</v>
      </c>
      <c r="D26" s="185">
        <f>0.9*D29</f>
        <v>764738.1</v>
      </c>
      <c r="E26" s="231">
        <f>B26/B29</f>
        <v>0.68270881911223058</v>
      </c>
      <c r="W26" s="210">
        <f>W22-W25</f>
        <v>849708.92000000027</v>
      </c>
      <c r="X26" s="38">
        <f>W26/W27</f>
        <v>0.60492496373558291</v>
      </c>
      <c r="Y26" t="s">
        <v>185</v>
      </c>
    </row>
    <row r="27" spans="1:26" ht="15" customHeight="1" x14ac:dyDescent="0.3">
      <c r="A27" s="6" t="s">
        <v>65</v>
      </c>
      <c r="B27" s="183">
        <f>SUM(C27:D27)</f>
        <v>445683.85000000003</v>
      </c>
      <c r="C27" s="184">
        <f>0.65*C29</f>
        <v>360712.95</v>
      </c>
      <c r="D27" s="185">
        <f>0.1*D29</f>
        <v>84970.900000000009</v>
      </c>
      <c r="E27" s="231">
        <f>B27/B29</f>
        <v>0.3172913458396846</v>
      </c>
      <c r="K27" s="242"/>
      <c r="L27" s="8"/>
      <c r="M27" s="242"/>
      <c r="N27" s="8"/>
      <c r="W27" s="182">
        <v>1404651.7683000006</v>
      </c>
    </row>
    <row r="28" spans="1:26" ht="15" customHeight="1" x14ac:dyDescent="0.3">
      <c r="A28" s="6"/>
      <c r="B28" s="186">
        <f>SUM(B26:B27)</f>
        <v>1404652</v>
      </c>
      <c r="C28" s="187">
        <f>SUM(C26:C27)</f>
        <v>554943</v>
      </c>
      <c r="D28" s="185">
        <f>SUM(D26:D27)</f>
        <v>849709</v>
      </c>
      <c r="E28" s="199">
        <f>SUM(C28:D28)</f>
        <v>1404652</v>
      </c>
      <c r="K28" s="242"/>
      <c r="L28" s="8"/>
      <c r="M28" s="242"/>
      <c r="N28" s="8"/>
    </row>
    <row r="29" spans="1:26" ht="15" customHeight="1" x14ac:dyDescent="0.3">
      <c r="A29" s="6"/>
      <c r="B29" s="164">
        <v>1404651.7683000006</v>
      </c>
      <c r="C29" s="197">
        <v>554943</v>
      </c>
      <c r="D29" s="198">
        <v>849709</v>
      </c>
      <c r="I29" s="8"/>
      <c r="J29" s="8"/>
      <c r="K29" s="242"/>
      <c r="L29" s="8"/>
      <c r="M29" s="242"/>
      <c r="N29" s="8"/>
    </row>
    <row r="30" spans="1:26" x14ac:dyDescent="0.3">
      <c r="A30" s="8"/>
      <c r="B30" s="61"/>
      <c r="C30" s="231">
        <f>C29/B29</f>
        <v>0.39507514426271467</v>
      </c>
      <c r="G30" s="8"/>
      <c r="H30" s="8"/>
      <c r="I30" s="8"/>
      <c r="J30" s="8"/>
      <c r="K30" s="242"/>
      <c r="L30" s="8"/>
      <c r="M30" s="242"/>
      <c r="N30" s="8"/>
    </row>
    <row r="31" spans="1:26" x14ac:dyDescent="0.3">
      <c r="G31" s="8"/>
      <c r="K31" s="160"/>
      <c r="L31" s="8"/>
      <c r="M31" s="243"/>
      <c r="N31" s="8"/>
      <c r="W31" s="24"/>
    </row>
    <row r="32" spans="1:26" x14ac:dyDescent="0.3">
      <c r="A32" s="212" t="s">
        <v>48</v>
      </c>
      <c r="B32" s="212"/>
      <c r="C32" s="212"/>
      <c r="D32" s="213">
        <v>664940</v>
      </c>
      <c r="G32" s="8"/>
      <c r="K32" s="160"/>
      <c r="L32" s="8"/>
      <c r="M32" s="201"/>
      <c r="N32" s="8"/>
      <c r="W32" s="24"/>
    </row>
    <row r="33" spans="1:23" x14ac:dyDescent="0.3">
      <c r="A33" s="212" t="s">
        <v>8</v>
      </c>
      <c r="B33" s="212"/>
      <c r="C33" s="212"/>
      <c r="D33" s="213">
        <v>52357.910000000011</v>
      </c>
      <c r="G33" s="8"/>
      <c r="K33" s="160"/>
      <c r="L33" s="8"/>
      <c r="M33" s="201"/>
      <c r="N33" s="8"/>
      <c r="W33" s="24"/>
    </row>
    <row r="34" spans="1:23" x14ac:dyDescent="0.3">
      <c r="A34" s="212" t="s">
        <v>44</v>
      </c>
      <c r="B34" s="212"/>
      <c r="C34" s="212"/>
      <c r="D34" s="213">
        <v>58876.74</v>
      </c>
      <c r="E34" s="162"/>
      <c r="F34" s="203"/>
      <c r="G34" s="204"/>
      <c r="K34" s="160"/>
      <c r="L34" s="8"/>
      <c r="M34" s="8"/>
      <c r="N34" s="8"/>
      <c r="W34" s="24"/>
    </row>
    <row r="35" spans="1:23" x14ac:dyDescent="0.3">
      <c r="A35" s="413" t="s">
        <v>9</v>
      </c>
      <c r="B35" s="414"/>
      <c r="C35" s="212"/>
      <c r="D35" s="213">
        <v>57936.010000000009</v>
      </c>
      <c r="E35" s="207">
        <f>SUM(D32:D35)</f>
        <v>834110.66</v>
      </c>
      <c r="F35" s="203"/>
      <c r="G35" s="204"/>
      <c r="K35" s="160"/>
      <c r="W35" s="24"/>
    </row>
    <row r="36" spans="1:23" x14ac:dyDescent="0.3">
      <c r="A36" s="214" t="s">
        <v>47</v>
      </c>
      <c r="B36" s="214"/>
      <c r="C36" s="214"/>
      <c r="D36" s="215">
        <v>306572.86000000004</v>
      </c>
      <c r="E36" s="241"/>
      <c r="F36" s="203"/>
      <c r="G36" s="204"/>
      <c r="K36" s="160"/>
      <c r="W36" s="24"/>
    </row>
    <row r="37" spans="1:23" x14ac:dyDescent="0.3">
      <c r="A37" s="214" t="s">
        <v>45</v>
      </c>
      <c r="B37" s="214"/>
      <c r="C37" s="214"/>
      <c r="D37" s="215">
        <v>93737.49000000002</v>
      </c>
      <c r="E37" s="162"/>
      <c r="F37" s="202"/>
      <c r="G37" s="204"/>
      <c r="K37" s="160"/>
    </row>
    <row r="38" spans="1:23" x14ac:dyDescent="0.3">
      <c r="A38" s="214" t="s">
        <v>46</v>
      </c>
      <c r="B38" s="214"/>
      <c r="C38" s="214"/>
      <c r="D38" s="215">
        <v>122866.52180000003</v>
      </c>
      <c r="E38" s="208">
        <f>SUM(D36:D38)</f>
        <v>523176.87180000014</v>
      </c>
      <c r="F38" s="205"/>
      <c r="G38" s="204"/>
      <c r="K38" s="160"/>
    </row>
    <row r="39" spans="1:23" x14ac:dyDescent="0.3">
      <c r="A39" s="219" t="s">
        <v>187</v>
      </c>
      <c r="B39" s="220"/>
      <c r="C39" s="216"/>
      <c r="D39" s="217">
        <v>15747</v>
      </c>
      <c r="E39" s="209"/>
      <c r="F39" s="205"/>
      <c r="G39" s="204"/>
      <c r="K39" s="160"/>
    </row>
    <row r="40" spans="1:23" x14ac:dyDescent="0.3">
      <c r="A40" s="216" t="s">
        <v>203</v>
      </c>
      <c r="B40" s="216"/>
      <c r="C40" s="216"/>
      <c r="D40" s="217">
        <v>18859.084200000005</v>
      </c>
      <c r="E40" s="209"/>
      <c r="F40" s="205"/>
      <c r="G40" s="204"/>
      <c r="H40" s="204"/>
      <c r="I40" s="206"/>
      <c r="J40" s="30"/>
    </row>
    <row r="41" spans="1:23" x14ac:dyDescent="0.3">
      <c r="A41" s="411" t="s">
        <v>186</v>
      </c>
      <c r="B41" s="412"/>
      <c r="C41" s="216"/>
      <c r="D41" s="217">
        <v>12758</v>
      </c>
      <c r="E41" s="209">
        <f>SUM(D39:D41)</f>
        <v>47364.084200000005</v>
      </c>
      <c r="F41" s="205"/>
      <c r="G41" s="204"/>
      <c r="H41" s="204"/>
      <c r="I41" s="206"/>
      <c r="J41" s="30"/>
    </row>
    <row r="42" spans="1:23" x14ac:dyDescent="0.3">
      <c r="A42" s="415"/>
      <c r="B42" s="416"/>
      <c r="C42" s="6"/>
      <c r="D42" s="218">
        <f>SUM(D32:D41)</f>
        <v>1404651.6159999999</v>
      </c>
      <c r="E42" s="211">
        <f>SUM(E41,E38,E35)</f>
        <v>1404651.6160000002</v>
      </c>
    </row>
    <row r="43" spans="1:23" x14ac:dyDescent="0.3">
      <c r="D43" s="200"/>
    </row>
  </sheetData>
  <mergeCells count="9">
    <mergeCell ref="A41:B41"/>
    <mergeCell ref="A35:B35"/>
    <mergeCell ref="A42:B42"/>
    <mergeCell ref="Q10:S10"/>
    <mergeCell ref="B10:D10"/>
    <mergeCell ref="E10:G10"/>
    <mergeCell ref="H10:J10"/>
    <mergeCell ref="K10:M10"/>
    <mergeCell ref="N10:P10"/>
  </mergeCells>
  <pageMargins left="0.7" right="0.7" top="0.75" bottom="0.75" header="0.3" footer="0.3"/>
  <pageSetup paperSize="29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2" tint="-0.499984740745262"/>
  </sheetPr>
  <dimension ref="A1:K26"/>
  <sheetViews>
    <sheetView topLeftCell="A5" workbookViewId="0">
      <selection activeCell="I18" sqref="I18"/>
    </sheetView>
  </sheetViews>
  <sheetFormatPr defaultRowHeight="14.4" x14ac:dyDescent="0.3"/>
  <cols>
    <col min="2" max="2" width="10.88671875" customWidth="1"/>
    <col min="4" max="4" width="11" customWidth="1"/>
    <col min="6" max="6" width="15.44140625" customWidth="1"/>
    <col min="8" max="9" width="10.44140625" customWidth="1"/>
  </cols>
  <sheetData>
    <row r="1" spans="1:11" ht="15" x14ac:dyDescent="0.3">
      <c r="A1" s="409" t="s">
        <v>104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1:11" ht="15" x14ac:dyDescent="0.3">
      <c r="A2" s="9" t="s">
        <v>49</v>
      </c>
      <c r="B2" s="9"/>
      <c r="C2" s="9"/>
      <c r="D2" s="9"/>
    </row>
    <row r="3" spans="1:11" ht="15" x14ac:dyDescent="0.3">
      <c r="A3" s="9" t="s">
        <v>13</v>
      </c>
      <c r="C3" s="1"/>
    </row>
    <row r="4" spans="1:11" ht="15" x14ac:dyDescent="0.3">
      <c r="C4" s="1"/>
    </row>
    <row r="5" spans="1:11" ht="15" x14ac:dyDescent="0.3">
      <c r="A5" s="1" t="s">
        <v>14</v>
      </c>
      <c r="B5" s="13">
        <v>41456</v>
      </c>
      <c r="C5" s="1" t="s">
        <v>15</v>
      </c>
      <c r="D5" s="13">
        <v>41820</v>
      </c>
    </row>
    <row r="6" spans="1:11" ht="15" x14ac:dyDescent="0.3">
      <c r="A6" s="1" t="s">
        <v>16</v>
      </c>
      <c r="B6" s="13">
        <v>41821</v>
      </c>
      <c r="C6" s="1" t="s">
        <v>15</v>
      </c>
      <c r="D6" s="13">
        <v>42185</v>
      </c>
    </row>
    <row r="7" spans="1:11" ht="15" x14ac:dyDescent="0.3">
      <c r="A7" s="1"/>
      <c r="B7" s="1"/>
      <c r="C7" s="1"/>
      <c r="D7" s="1"/>
    </row>
    <row r="8" spans="1:11" ht="15" x14ac:dyDescent="0.3">
      <c r="A8" s="14"/>
      <c r="B8" s="14"/>
      <c r="C8" s="14"/>
      <c r="D8" s="14"/>
      <c r="E8" s="11"/>
      <c r="F8" s="11"/>
      <c r="G8" s="11"/>
      <c r="H8" s="11"/>
    </row>
    <row r="9" spans="1:11" ht="15" x14ac:dyDescent="0.3">
      <c r="A9" t="s">
        <v>17</v>
      </c>
      <c r="C9" s="1"/>
      <c r="G9">
        <v>2841</v>
      </c>
    </row>
    <row r="10" spans="1:11" ht="15" x14ac:dyDescent="0.3">
      <c r="A10" s="15" t="s">
        <v>18</v>
      </c>
      <c r="C10" s="1"/>
      <c r="G10">
        <v>2760</v>
      </c>
    </row>
    <row r="11" spans="1:11" ht="15" x14ac:dyDescent="0.3">
      <c r="C11" s="1"/>
    </row>
    <row r="12" spans="1:11" ht="15" x14ac:dyDescent="0.3">
      <c r="C12" s="1"/>
      <c r="F12" t="s">
        <v>19</v>
      </c>
      <c r="H12" t="s">
        <v>332</v>
      </c>
      <c r="I12" t="s">
        <v>333</v>
      </c>
    </row>
    <row r="13" spans="1:11" ht="15" x14ac:dyDescent="0.3">
      <c r="A13" t="s">
        <v>20</v>
      </c>
      <c r="B13" s="1"/>
      <c r="F13" t="s">
        <v>71</v>
      </c>
      <c r="G13">
        <v>1775</v>
      </c>
      <c r="H13" s="16">
        <f>G13/G10</f>
        <v>0.64311594202898548</v>
      </c>
      <c r="I13" s="231">
        <f t="shared" ref="I13:I18" si="0">G13/$G$18</f>
        <v>0.46393099843178254</v>
      </c>
    </row>
    <row r="14" spans="1:11" ht="15" x14ac:dyDescent="0.3">
      <c r="A14" t="s">
        <v>21</v>
      </c>
      <c r="B14" s="1"/>
      <c r="F14" t="s">
        <v>72</v>
      </c>
      <c r="G14">
        <v>737</v>
      </c>
      <c r="H14" s="16">
        <f>G14/G10</f>
        <v>0.26702898550724635</v>
      </c>
      <c r="I14" s="231">
        <f t="shared" si="0"/>
        <v>0.19262937794040774</v>
      </c>
    </row>
    <row r="15" spans="1:11" ht="15" x14ac:dyDescent="0.3">
      <c r="A15" t="s">
        <v>334</v>
      </c>
      <c r="B15" s="1"/>
      <c r="F15" t="s">
        <v>73</v>
      </c>
      <c r="G15">
        <v>248</v>
      </c>
      <c r="H15" s="16">
        <f>G15/G10</f>
        <v>8.9855072463768115E-2</v>
      </c>
      <c r="I15" s="231">
        <f t="shared" si="0"/>
        <v>6.4819654992158915E-2</v>
      </c>
    </row>
    <row r="16" spans="1:11" ht="15" x14ac:dyDescent="0.25">
      <c r="C16" s="1"/>
      <c r="F16" t="s">
        <v>330</v>
      </c>
      <c r="G16">
        <f>SUM(G13:G15)</f>
        <v>2760</v>
      </c>
      <c r="H16" s="17">
        <f>SUM(H13:H15)</f>
        <v>1</v>
      </c>
      <c r="I16" s="231">
        <f t="shared" si="0"/>
        <v>0.72138003136434914</v>
      </c>
    </row>
    <row r="17" spans="1:9" x14ac:dyDescent="0.35">
      <c r="A17" t="s">
        <v>328</v>
      </c>
      <c r="F17" t="s">
        <v>329</v>
      </c>
      <c r="G17">
        <f>G9-G13</f>
        <v>1066</v>
      </c>
      <c r="I17" s="231">
        <f t="shared" si="0"/>
        <v>0.27861996863565081</v>
      </c>
    </row>
    <row r="18" spans="1:9" ht="16.5" x14ac:dyDescent="0.3">
      <c r="A18" s="18"/>
      <c r="E18" s="19"/>
      <c r="F18" t="s">
        <v>331</v>
      </c>
      <c r="G18">
        <f>SUM(G16:G17)</f>
        <v>3826</v>
      </c>
      <c r="I18" s="231">
        <f t="shared" si="0"/>
        <v>1</v>
      </c>
    </row>
    <row r="19" spans="1:9" ht="16.5" x14ac:dyDescent="0.3">
      <c r="A19" s="18"/>
      <c r="E19" s="19"/>
    </row>
    <row r="20" spans="1:9" ht="16.5" x14ac:dyDescent="0.3">
      <c r="A20" s="18"/>
    </row>
    <row r="21" spans="1:9" ht="16.5" x14ac:dyDescent="0.3">
      <c r="A21" s="18"/>
    </row>
    <row r="22" spans="1:9" ht="16.5" x14ac:dyDescent="0.3">
      <c r="A22" s="18"/>
      <c r="E22" s="19"/>
      <c r="F22" s="20"/>
    </row>
    <row r="23" spans="1:9" x14ac:dyDescent="0.35">
      <c r="A23" s="18"/>
      <c r="B23" s="18"/>
      <c r="D23" s="19"/>
      <c r="E23" s="20"/>
    </row>
    <row r="24" spans="1:9" x14ac:dyDescent="0.35">
      <c r="A24" s="18"/>
      <c r="C24" s="18"/>
      <c r="D24" s="20"/>
    </row>
    <row r="25" spans="1:9" x14ac:dyDescent="0.35">
      <c r="A25" s="18"/>
    </row>
    <row r="26" spans="1:9" x14ac:dyDescent="0.35">
      <c r="A26" s="18"/>
    </row>
  </sheetData>
  <mergeCells count="1">
    <mergeCell ref="A1:K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AS80"/>
  <sheetViews>
    <sheetView topLeftCell="N23" zoomScale="80" zoomScaleNormal="80" workbookViewId="0">
      <selection activeCell="S45" sqref="S45"/>
    </sheetView>
  </sheetViews>
  <sheetFormatPr defaultRowHeight="14.4" x14ac:dyDescent="0.3"/>
  <cols>
    <col min="1" max="1" width="14.5546875" customWidth="1"/>
    <col min="2" max="2" width="9.109375" customWidth="1"/>
    <col min="14" max="14" width="14.109375" customWidth="1"/>
    <col min="15" max="15" width="12.109375" customWidth="1"/>
    <col min="16" max="16" width="13.5546875" customWidth="1"/>
    <col min="17" max="17" width="11.88671875" customWidth="1"/>
    <col min="19" max="19" width="54" customWidth="1"/>
    <col min="20" max="20" width="10" customWidth="1"/>
    <col min="21" max="21" width="11.44140625" customWidth="1"/>
    <col min="22" max="22" width="11" customWidth="1"/>
    <col min="23" max="23" width="11.44140625" customWidth="1"/>
    <col min="24" max="24" width="9.6640625" customWidth="1"/>
    <col min="25" max="25" width="10.5546875" customWidth="1"/>
    <col min="26" max="26" width="12.88671875" customWidth="1"/>
    <col min="27" max="27" width="10.109375" customWidth="1"/>
    <col min="28" max="28" width="9.6640625" customWidth="1"/>
    <col min="29" max="29" width="12.88671875" customWidth="1"/>
    <col min="30" max="30" width="11.44140625" customWidth="1"/>
    <col min="31" max="31" width="11" customWidth="1"/>
    <col min="32" max="32" width="18.5546875" customWidth="1"/>
    <col min="33" max="33" width="25" customWidth="1"/>
    <col min="34" max="34" width="17" customWidth="1"/>
    <col min="35" max="35" width="17.6640625" customWidth="1"/>
  </cols>
  <sheetData>
    <row r="1" spans="1:35" x14ac:dyDescent="0.3">
      <c r="A1" s="259" t="s">
        <v>214</v>
      </c>
      <c r="B1" s="260" t="s">
        <v>215</v>
      </c>
      <c r="C1" s="260" t="s">
        <v>216</v>
      </c>
      <c r="D1" s="260" t="s">
        <v>217</v>
      </c>
      <c r="E1" s="260" t="s">
        <v>218</v>
      </c>
      <c r="F1" s="260" t="s">
        <v>219</v>
      </c>
      <c r="G1" s="260" t="s">
        <v>220</v>
      </c>
      <c r="H1" s="261" t="s">
        <v>221</v>
      </c>
      <c r="I1" s="261" t="s">
        <v>222</v>
      </c>
      <c r="J1" s="261" t="s">
        <v>223</v>
      </c>
      <c r="K1" s="261" t="s">
        <v>224</v>
      </c>
      <c r="L1" s="261" t="s">
        <v>225</v>
      </c>
      <c r="M1" s="261" t="s">
        <v>226</v>
      </c>
      <c r="N1" s="262" t="s">
        <v>227</v>
      </c>
      <c r="O1" s="263" t="s">
        <v>228</v>
      </c>
      <c r="S1" s="421" t="s">
        <v>258</v>
      </c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3"/>
    </row>
    <row r="2" spans="1:35" ht="27" x14ac:dyDescent="0.25">
      <c r="A2" s="260" t="s">
        <v>229</v>
      </c>
      <c r="B2" s="264">
        <v>202380.82613000018</v>
      </c>
      <c r="C2" s="264">
        <f>B6</f>
        <v>146070.7787983336</v>
      </c>
      <c r="D2" s="264">
        <f t="shared" ref="D2:M2" si="0">C6</f>
        <v>117475.7551325003</v>
      </c>
      <c r="E2" s="264">
        <f t="shared" si="0"/>
        <v>126227.24329958364</v>
      </c>
      <c r="F2" s="264">
        <f t="shared" si="0"/>
        <v>130590.48738312532</v>
      </c>
      <c r="G2" s="264">
        <f t="shared" si="0"/>
        <v>133119.10942489616</v>
      </c>
      <c r="H2" s="264">
        <f t="shared" si="0"/>
        <v>143785.05471244809</v>
      </c>
      <c r="I2" s="264">
        <f t="shared" si="0"/>
        <v>139358.39308955753</v>
      </c>
      <c r="J2" s="264">
        <f t="shared" si="0"/>
        <v>137145.06227811228</v>
      </c>
      <c r="K2" s="264">
        <f t="shared" si="0"/>
        <v>136066.44687238964</v>
      </c>
      <c r="L2" s="264">
        <f t="shared" si="0"/>
        <v>134522.63916952783</v>
      </c>
      <c r="M2" s="264">
        <f t="shared" si="0"/>
        <v>134586.7353180974</v>
      </c>
      <c r="N2" s="265"/>
      <c r="S2" s="424" t="s">
        <v>242</v>
      </c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6"/>
    </row>
    <row r="3" spans="1:35" ht="27" x14ac:dyDescent="0.25">
      <c r="A3" s="273" t="s">
        <v>230</v>
      </c>
      <c r="B3" s="274">
        <f>128759.731466667-39999+1000</f>
        <v>89760.731466666999</v>
      </c>
      <c r="C3" s="274">
        <f>128759.731466667-41578+1000+350+49+300</f>
        <v>88880.731466666999</v>
      </c>
      <c r="D3" s="274">
        <f>128759.731466667+2658+3561</f>
        <v>134978.731466667</v>
      </c>
      <c r="E3" s="274">
        <f>128759.731466667-58778+60000+4072+900</f>
        <v>134953.731466667</v>
      </c>
      <c r="F3" s="274">
        <f>128759.731466667+5689+500+500+199</f>
        <v>135647.731466667</v>
      </c>
      <c r="G3" s="274">
        <f>135450+19000+1</f>
        <v>154451</v>
      </c>
      <c r="H3" s="274">
        <f>128759.731466667+6072+100</f>
        <v>134931.731466667</v>
      </c>
      <c r="I3" s="274">
        <f>128759.731466667+6072+100</f>
        <v>134931.731466667</v>
      </c>
      <c r="J3" s="274">
        <f>128759.731466667-12563+10000+5590.1+3201</f>
        <v>134987.831466667</v>
      </c>
      <c r="K3" s="274">
        <f>128759.731466666-4766+5590.1+2795+600</f>
        <v>132978.83146666602</v>
      </c>
      <c r="L3" s="274">
        <f>128759.731466667+5590.1+300+1</f>
        <v>134650.831466667</v>
      </c>
      <c r="M3" s="274">
        <f>128759.731466667-15231+5590.1+6072+6072+3201-500</f>
        <v>133963.831466667</v>
      </c>
      <c r="N3" s="275">
        <f>SUM(B3:M3)</f>
        <v>1545117.4461333361</v>
      </c>
      <c r="O3" s="266">
        <v>1545116.7776000001</v>
      </c>
      <c r="P3" s="267" t="s">
        <v>231</v>
      </c>
      <c r="S3" s="427" t="s">
        <v>326</v>
      </c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9"/>
    </row>
    <row r="4" spans="1:35" ht="15" x14ac:dyDescent="0.25">
      <c r="A4" s="260" t="s">
        <v>232</v>
      </c>
      <c r="B4" s="261">
        <f>SUM(B2:B3)</f>
        <v>292141.5575966672</v>
      </c>
      <c r="C4" s="261">
        <f t="shared" ref="C4:M4" si="1">SUM(C2:C3)</f>
        <v>234951.5102650006</v>
      </c>
      <c r="D4" s="261">
        <f t="shared" si="1"/>
        <v>252454.48659916729</v>
      </c>
      <c r="E4" s="261">
        <f>SUM(E2:E3)</f>
        <v>261180.97476625064</v>
      </c>
      <c r="F4" s="261">
        <f>SUM(F2:F3)</f>
        <v>266238.21884979232</v>
      </c>
      <c r="G4" s="261">
        <f>SUM(G2:G3)</f>
        <v>287570.10942489619</v>
      </c>
      <c r="H4" s="261">
        <f>SUM(H2:H3)</f>
        <v>278716.78617911506</v>
      </c>
      <c r="I4" s="261">
        <f t="shared" si="1"/>
        <v>274290.12455622456</v>
      </c>
      <c r="J4" s="261">
        <f t="shared" si="1"/>
        <v>272132.89374477929</v>
      </c>
      <c r="K4" s="261">
        <f t="shared" si="1"/>
        <v>269045.27833905566</v>
      </c>
      <c r="L4" s="261">
        <f t="shared" si="1"/>
        <v>269173.4706361948</v>
      </c>
      <c r="M4" s="261">
        <f t="shared" si="1"/>
        <v>268550.56678476441</v>
      </c>
      <c r="N4" s="268"/>
      <c r="P4" s="267"/>
      <c r="S4" s="27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279" t="s">
        <v>243</v>
      </c>
      <c r="AG4" s="280" t="s">
        <v>244</v>
      </c>
    </row>
    <row r="5" spans="1:35" x14ac:dyDescent="0.35">
      <c r="A5" s="260" t="s">
        <v>233</v>
      </c>
      <c r="B5" s="269">
        <f>0.5*B3 + 0.5*B2</f>
        <v>146070.7787983336</v>
      </c>
      <c r="C5" s="269">
        <f t="shared" ref="C5:M5" si="2">0.5*C3 + 0.5*C2</f>
        <v>117475.7551325003</v>
      </c>
      <c r="D5" s="269">
        <f t="shared" si="2"/>
        <v>126227.24329958364</v>
      </c>
      <c r="E5" s="269">
        <f t="shared" si="2"/>
        <v>130590.48738312532</v>
      </c>
      <c r="F5" s="269">
        <f t="shared" si="2"/>
        <v>133119.10942489616</v>
      </c>
      <c r="G5" s="269">
        <f t="shared" si="2"/>
        <v>143785.05471244809</v>
      </c>
      <c r="H5" s="269">
        <f t="shared" si="2"/>
        <v>139358.39308955753</v>
      </c>
      <c r="I5" s="269">
        <f t="shared" si="2"/>
        <v>137145.06227811228</v>
      </c>
      <c r="J5" s="269">
        <f t="shared" si="2"/>
        <v>136066.44687238964</v>
      </c>
      <c r="K5" s="269">
        <f t="shared" si="2"/>
        <v>134522.63916952783</v>
      </c>
      <c r="L5" s="269">
        <f t="shared" si="2"/>
        <v>134586.7353180974</v>
      </c>
      <c r="M5" s="269">
        <f t="shared" si="2"/>
        <v>134275.2833923822</v>
      </c>
      <c r="N5" s="270">
        <f>SUM(B5:M5)</f>
        <v>1613222.9888709541</v>
      </c>
      <c r="P5" s="267" t="s">
        <v>231</v>
      </c>
      <c r="S5" s="278"/>
      <c r="T5" s="281">
        <v>42186</v>
      </c>
      <c r="U5" s="281">
        <v>42217</v>
      </c>
      <c r="V5" s="281">
        <v>42248</v>
      </c>
      <c r="W5" s="281">
        <v>42278</v>
      </c>
      <c r="X5" s="281">
        <v>42309</v>
      </c>
      <c r="Y5" s="281">
        <v>42339</v>
      </c>
      <c r="Z5" s="281">
        <v>42370</v>
      </c>
      <c r="AA5" s="281">
        <v>42401</v>
      </c>
      <c r="AB5" s="281">
        <v>42430</v>
      </c>
      <c r="AC5" s="281">
        <v>42461</v>
      </c>
      <c r="AD5" s="281">
        <v>42491</v>
      </c>
      <c r="AE5" s="281">
        <v>42522</v>
      </c>
      <c r="AF5" s="281" t="s">
        <v>245</v>
      </c>
      <c r="AG5" s="282" t="s">
        <v>12</v>
      </c>
      <c r="AH5" s="344"/>
      <c r="AI5" s="9" t="s">
        <v>246</v>
      </c>
    </row>
    <row r="6" spans="1:35" ht="27" x14ac:dyDescent="0.25">
      <c r="A6" s="260" t="s">
        <v>234</v>
      </c>
      <c r="B6" s="261">
        <f>B4-B5</f>
        <v>146070.7787983336</v>
      </c>
      <c r="C6" s="261">
        <f t="shared" ref="C6:M6" si="3">C4-C5</f>
        <v>117475.7551325003</v>
      </c>
      <c r="D6" s="261">
        <f t="shared" si="3"/>
        <v>126227.24329958364</v>
      </c>
      <c r="E6" s="261">
        <f t="shared" si="3"/>
        <v>130590.48738312532</v>
      </c>
      <c r="F6" s="261">
        <f t="shared" si="3"/>
        <v>133119.10942489616</v>
      </c>
      <c r="G6" s="261">
        <f t="shared" si="3"/>
        <v>143785.05471244809</v>
      </c>
      <c r="H6" s="261">
        <f t="shared" si="3"/>
        <v>139358.39308955753</v>
      </c>
      <c r="I6" s="261">
        <f t="shared" si="3"/>
        <v>137145.06227811228</v>
      </c>
      <c r="J6" s="261">
        <f t="shared" si="3"/>
        <v>136066.44687238964</v>
      </c>
      <c r="K6" s="261">
        <f t="shared" si="3"/>
        <v>134522.63916952783</v>
      </c>
      <c r="L6" s="261">
        <f t="shared" si="3"/>
        <v>134586.7353180974</v>
      </c>
      <c r="M6" s="261">
        <f t="shared" si="3"/>
        <v>134275.2833923822</v>
      </c>
      <c r="N6" s="266"/>
      <c r="O6" s="276"/>
      <c r="P6" s="267"/>
      <c r="S6" s="278"/>
      <c r="T6" s="281" t="s">
        <v>247</v>
      </c>
      <c r="U6" s="281" t="s">
        <v>247</v>
      </c>
      <c r="V6" s="281" t="s">
        <v>247</v>
      </c>
      <c r="W6" s="281" t="s">
        <v>247</v>
      </c>
      <c r="X6" s="281" t="s">
        <v>247</v>
      </c>
      <c r="Y6" s="281" t="s">
        <v>247</v>
      </c>
      <c r="Z6" s="281" t="s">
        <v>247</v>
      </c>
      <c r="AA6" s="281" t="s">
        <v>247</v>
      </c>
      <c r="AB6" s="281" t="s">
        <v>247</v>
      </c>
      <c r="AC6" s="281" t="s">
        <v>247</v>
      </c>
      <c r="AD6" s="281" t="s">
        <v>247</v>
      </c>
      <c r="AE6" s="281" t="s">
        <v>247</v>
      </c>
      <c r="AF6" s="283" t="s">
        <v>247</v>
      </c>
      <c r="AG6" s="283" t="s">
        <v>247</v>
      </c>
      <c r="AH6" s="284"/>
    </row>
    <row r="7" spans="1:35" ht="15" x14ac:dyDescent="0.25">
      <c r="A7" s="271" t="s">
        <v>235</v>
      </c>
      <c r="B7" s="272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66"/>
      <c r="S7" s="27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285"/>
      <c r="AH7" s="160"/>
    </row>
    <row r="8" spans="1:35" ht="15" x14ac:dyDescent="0.25">
      <c r="A8" s="271" t="s">
        <v>236</v>
      </c>
      <c r="B8" s="272">
        <f t="shared" ref="B8:M8" si="4">B5+B7</f>
        <v>146070.7787983336</v>
      </c>
      <c r="C8" s="272">
        <f t="shared" si="4"/>
        <v>117475.7551325003</v>
      </c>
      <c r="D8" s="272">
        <f t="shared" si="4"/>
        <v>126227.24329958364</v>
      </c>
      <c r="E8" s="272">
        <f t="shared" si="4"/>
        <v>130590.48738312532</v>
      </c>
      <c r="F8" s="272">
        <f t="shared" si="4"/>
        <v>133119.10942489616</v>
      </c>
      <c r="G8" s="272">
        <f t="shared" si="4"/>
        <v>143785.05471244809</v>
      </c>
      <c r="H8" s="272">
        <f t="shared" si="4"/>
        <v>139358.39308955753</v>
      </c>
      <c r="I8" s="272">
        <f t="shared" si="4"/>
        <v>137145.06227811228</v>
      </c>
      <c r="J8" s="272">
        <f t="shared" si="4"/>
        <v>136066.44687238964</v>
      </c>
      <c r="K8" s="272">
        <f t="shared" si="4"/>
        <v>134522.63916952783</v>
      </c>
      <c r="L8" s="272">
        <f t="shared" si="4"/>
        <v>134586.7353180974</v>
      </c>
      <c r="M8" s="272">
        <f t="shared" si="4"/>
        <v>134275.2833923822</v>
      </c>
      <c r="N8" s="266">
        <f>SUM(B8:M8)</f>
        <v>1613222.9888709541</v>
      </c>
      <c r="P8" s="277"/>
      <c r="S8" s="278" t="s">
        <v>248</v>
      </c>
      <c r="T8" s="340">
        <f>SUM('Stat Fin Position'!C7:C9)</f>
        <v>-56845</v>
      </c>
      <c r="U8" s="286">
        <f t="shared" ref="U8:AE8" si="5">T64</f>
        <v>-44212.371002659987</v>
      </c>
      <c r="V8" s="286">
        <f t="shared" si="5"/>
        <v>-28176.467239960955</v>
      </c>
      <c r="W8" s="286">
        <f t="shared" si="5"/>
        <v>-31497.07531017861</v>
      </c>
      <c r="X8" s="286">
        <f t="shared" si="5"/>
        <v>-55219.706949356405</v>
      </c>
      <c r="Y8" s="286">
        <f t="shared" si="5"/>
        <v>-55718.499131876903</v>
      </c>
      <c r="Z8" s="286">
        <f t="shared" si="5"/>
        <v>-41821.182077345467</v>
      </c>
      <c r="AA8" s="286">
        <f t="shared" si="5"/>
        <v>-75126.50497465636</v>
      </c>
      <c r="AB8" s="286">
        <f t="shared" si="5"/>
        <v>-62104.304303960758</v>
      </c>
      <c r="AC8" s="286">
        <f t="shared" si="5"/>
        <v>-49264.289038987801</v>
      </c>
      <c r="AD8" s="286">
        <f t="shared" si="5"/>
        <v>-58724.955225972983</v>
      </c>
      <c r="AE8" s="286">
        <f t="shared" si="5"/>
        <v>-46215.081515292259</v>
      </c>
      <c r="AF8" s="286"/>
      <c r="AG8" s="285"/>
      <c r="AH8" s="160"/>
      <c r="AI8" t="s">
        <v>313</v>
      </c>
    </row>
    <row r="9" spans="1:35" ht="15" x14ac:dyDescent="0.25">
      <c r="S9" s="278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285"/>
      <c r="AH9" s="160"/>
    </row>
    <row r="10" spans="1:35" ht="15" x14ac:dyDescent="0.25">
      <c r="S10" s="287" t="s">
        <v>249</v>
      </c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285"/>
      <c r="AH10" s="160"/>
      <c r="AI10" s="300"/>
    </row>
    <row r="11" spans="1:35" ht="15" x14ac:dyDescent="0.25">
      <c r="A11" t="s">
        <v>237</v>
      </c>
      <c r="B11" t="s">
        <v>238</v>
      </c>
      <c r="P11" s="277"/>
      <c r="S11" s="291" t="s">
        <v>250</v>
      </c>
      <c r="T11" s="288">
        <f>B8</f>
        <v>146070.7787983336</v>
      </c>
      <c r="U11" s="288">
        <f t="shared" ref="U11:AF11" si="6">C8</f>
        <v>117475.7551325003</v>
      </c>
      <c r="V11" s="288">
        <f t="shared" si="6"/>
        <v>126227.24329958364</v>
      </c>
      <c r="W11" s="288">
        <f t="shared" si="6"/>
        <v>130590.48738312532</v>
      </c>
      <c r="X11" s="288">
        <f t="shared" si="6"/>
        <v>133119.10942489616</v>
      </c>
      <c r="Y11" s="288">
        <f t="shared" si="6"/>
        <v>143785.05471244809</v>
      </c>
      <c r="Z11" s="288">
        <f t="shared" si="6"/>
        <v>139358.39308955753</v>
      </c>
      <c r="AA11" s="288">
        <f t="shared" si="6"/>
        <v>137145.06227811228</v>
      </c>
      <c r="AB11" s="288">
        <f t="shared" si="6"/>
        <v>136066.44687238964</v>
      </c>
      <c r="AC11" s="288">
        <f t="shared" si="6"/>
        <v>134522.63916952783</v>
      </c>
      <c r="AD11" s="288">
        <f t="shared" si="6"/>
        <v>134586.7353180974</v>
      </c>
      <c r="AE11" s="288">
        <f t="shared" si="6"/>
        <v>134275.2833923822</v>
      </c>
      <c r="AF11" s="288">
        <f t="shared" si="6"/>
        <v>1613222.9888709541</v>
      </c>
      <c r="AG11" s="290">
        <f>N5</f>
        <v>1613222.9888709541</v>
      </c>
      <c r="AH11" s="160"/>
      <c r="AI11" s="300" t="s">
        <v>251</v>
      </c>
    </row>
    <row r="12" spans="1:35" ht="15" x14ac:dyDescent="0.25">
      <c r="B12" t="s">
        <v>239</v>
      </c>
      <c r="S12" s="287" t="s">
        <v>259</v>
      </c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162"/>
      <c r="AG12" s="292" t="s">
        <v>262</v>
      </c>
      <c r="AH12" s="334" t="s">
        <v>263</v>
      </c>
      <c r="AI12" s="300"/>
    </row>
    <row r="13" spans="1:35" ht="15" x14ac:dyDescent="0.25">
      <c r="B13" t="s">
        <v>240</v>
      </c>
      <c r="S13" s="299" t="s">
        <v>260</v>
      </c>
      <c r="T13" s="329">
        <f>(AG13/12)-18000</f>
        <v>15812.716666666667</v>
      </c>
      <c r="U13" s="329">
        <f>(33812.72)-16500</f>
        <v>17312.72</v>
      </c>
      <c r="V13" s="329">
        <f>(33812.72)+6200</f>
        <v>40012.720000000001</v>
      </c>
      <c r="W13" s="329">
        <f>(33812.72)+6100</f>
        <v>39912.720000000001</v>
      </c>
      <c r="X13" s="329">
        <f>(33812.72)+7890</f>
        <v>41702.720000000001</v>
      </c>
      <c r="Y13" s="329">
        <f>(33812.72)+10950-145.0006</f>
        <v>44617.719400000002</v>
      </c>
      <c r="Z13" s="329">
        <f>(33812.72)+550</f>
        <v>34362.720000000001</v>
      </c>
      <c r="AA13" s="329">
        <f>(33812.72)+590</f>
        <v>34402.720000000001</v>
      </c>
      <c r="AB13" s="329">
        <f>(33812.72)+655</f>
        <v>34467.72</v>
      </c>
      <c r="AC13" s="329">
        <f>(33812.72)+550</f>
        <v>34362.720000000001</v>
      </c>
      <c r="AD13" s="329">
        <f>(33812.72)+620</f>
        <v>34432.720000000001</v>
      </c>
      <c r="AE13" s="329">
        <f>(33812.72)+540-0.04</f>
        <v>34352.68</v>
      </c>
      <c r="AF13" s="329">
        <f>SUM(T13:AE13)</f>
        <v>405752.59606666659</v>
      </c>
      <c r="AG13" s="329">
        <f>AH13*1.1</f>
        <v>405752.60000000003</v>
      </c>
      <c r="AH13" s="335">
        <v>368866</v>
      </c>
      <c r="AI13" s="300"/>
    </row>
    <row r="14" spans="1:35" ht="15" x14ac:dyDescent="0.25">
      <c r="B14" t="s">
        <v>241</v>
      </c>
      <c r="S14" s="299" t="s">
        <v>261</v>
      </c>
      <c r="T14" s="329">
        <f>(AG14/12)-2700</f>
        <v>813.76666666666688</v>
      </c>
      <c r="U14" s="329">
        <f>(3513.767)-2600</f>
        <v>913.76699999999983</v>
      </c>
      <c r="V14" s="329">
        <f>(3513.767)+600</f>
        <v>4113.7669999999998</v>
      </c>
      <c r="W14" s="329">
        <f>(3513.767)+856</f>
        <v>4369.7669999999998</v>
      </c>
      <c r="X14" s="329">
        <f>(3513.767)+990</f>
        <v>4503.7669999999998</v>
      </c>
      <c r="Y14" s="329">
        <f>(3513.767)+1870-113</f>
        <v>5270.7669999999998</v>
      </c>
      <c r="Z14" s="329">
        <f>(3513.767)+200</f>
        <v>3713.7669999999998</v>
      </c>
      <c r="AA14" s="329">
        <f>(3513.767)+321</f>
        <v>3834.7669999999998</v>
      </c>
      <c r="AB14" s="329">
        <f>(3513.767)+145</f>
        <v>3658.7669999999998</v>
      </c>
      <c r="AC14" s="329">
        <f>(3513.767)+124</f>
        <v>3637.7669999999998</v>
      </c>
      <c r="AD14" s="329">
        <f>(3513.767)+208</f>
        <v>3721.7669999999998</v>
      </c>
      <c r="AE14" s="329">
        <f>(3513.767)+99</f>
        <v>3612.7669999999998</v>
      </c>
      <c r="AF14" s="329">
        <f t="shared" ref="AF14:AF55" si="7">SUM(T14:AE14)</f>
        <v>42165.203666666668</v>
      </c>
      <c r="AG14" s="329">
        <f t="shared" ref="AG14:AG33" si="8">AH14*1.1</f>
        <v>42165.200000000004</v>
      </c>
      <c r="AH14" s="335">
        <v>38332</v>
      </c>
      <c r="AI14" s="300" t="s">
        <v>252</v>
      </c>
    </row>
    <row r="15" spans="1:35" ht="15" x14ac:dyDescent="0.25">
      <c r="R15" s="7"/>
      <c r="S15" s="346" t="s">
        <v>176</v>
      </c>
      <c r="T15" s="250">
        <f>AG15/12</f>
        <v>100.28333333333335</v>
      </c>
      <c r="U15" s="250">
        <v>100.28</v>
      </c>
      <c r="V15" s="250">
        <v>100.28</v>
      </c>
      <c r="W15" s="250">
        <v>100.28</v>
      </c>
      <c r="X15" s="250">
        <v>100.28</v>
      </c>
      <c r="Y15" s="250">
        <v>100.28</v>
      </c>
      <c r="Z15" s="250">
        <v>100.28</v>
      </c>
      <c r="AA15" s="250">
        <v>100.28</v>
      </c>
      <c r="AB15" s="250">
        <v>100.28</v>
      </c>
      <c r="AC15" s="250">
        <v>100.28</v>
      </c>
      <c r="AD15" s="250">
        <v>100.28</v>
      </c>
      <c r="AE15" s="250">
        <f>100.28+0.04</f>
        <v>100.32000000000001</v>
      </c>
      <c r="AF15" s="348">
        <f t="shared" si="7"/>
        <v>1203.4033333333332</v>
      </c>
      <c r="AG15" s="348">
        <f t="shared" si="8"/>
        <v>1203.4000000000001</v>
      </c>
      <c r="AH15" s="337">
        <v>1094</v>
      </c>
      <c r="AI15" s="349"/>
    </row>
    <row r="16" spans="1:35" ht="15" x14ac:dyDescent="0.25">
      <c r="R16" s="7"/>
      <c r="S16" s="346" t="s">
        <v>153</v>
      </c>
      <c r="T16" s="250">
        <f>(AG16/12)-50</f>
        <v>175.5916666666667</v>
      </c>
      <c r="U16" s="250">
        <f>(225.59)-80</f>
        <v>145.59</v>
      </c>
      <c r="V16" s="250">
        <f>(225.59)-20</f>
        <v>205.59</v>
      </c>
      <c r="W16" s="250">
        <f>(225.59)+25</f>
        <v>250.59</v>
      </c>
      <c r="X16" s="250">
        <f>(225.59)+50-8.98</f>
        <v>266.61</v>
      </c>
      <c r="Y16" s="250">
        <f>(225.59)+60</f>
        <v>285.59000000000003</v>
      </c>
      <c r="Z16" s="250">
        <f>(225.59)+28</f>
        <v>253.59</v>
      </c>
      <c r="AA16" s="250">
        <f>(225.59)+26</f>
        <v>251.59</v>
      </c>
      <c r="AB16" s="250">
        <f>(225.59)-7</f>
        <v>218.59</v>
      </c>
      <c r="AC16" s="250">
        <f>(225.59)-18</f>
        <v>207.59</v>
      </c>
      <c r="AD16" s="250">
        <f>(225.59)+5</f>
        <v>230.59</v>
      </c>
      <c r="AE16" s="250">
        <f>(225.59)-10</f>
        <v>215.59</v>
      </c>
      <c r="AF16" s="348">
        <f t="shared" si="7"/>
        <v>2707.1016666666674</v>
      </c>
      <c r="AG16" s="348">
        <f t="shared" si="8"/>
        <v>2707.1000000000004</v>
      </c>
      <c r="AH16" s="337">
        <v>2461</v>
      </c>
      <c r="AI16" s="378" t="s">
        <v>304</v>
      </c>
    </row>
    <row r="17" spans="15:45" ht="15" x14ac:dyDescent="0.25">
      <c r="R17" s="7"/>
      <c r="S17" s="346" t="s">
        <v>147</v>
      </c>
      <c r="T17" s="250">
        <f>(AG17/12)-8</f>
        <v>151.40833333333333</v>
      </c>
      <c r="U17" s="250">
        <f>(159.41)-15</f>
        <v>144.41</v>
      </c>
      <c r="V17" s="250">
        <f>(159.41)+12</f>
        <v>171.41</v>
      </c>
      <c r="W17" s="250">
        <f>(159.41)+31</f>
        <v>190.41</v>
      </c>
      <c r="X17" s="250">
        <f>(159.41)+15</f>
        <v>174.41</v>
      </c>
      <c r="Y17" s="250">
        <f>(159.41)+18</f>
        <v>177.41</v>
      </c>
      <c r="Z17" s="250">
        <f>(159.41)-9</f>
        <v>150.41</v>
      </c>
      <c r="AA17" s="250">
        <f>(159.41)-20</f>
        <v>139.41</v>
      </c>
      <c r="AB17" s="250">
        <f>(159.41)+15</f>
        <v>174.41</v>
      </c>
      <c r="AC17" s="250">
        <f>(159.41)+14</f>
        <v>173.41</v>
      </c>
      <c r="AD17" s="250">
        <f>(159.41)-23</f>
        <v>136.41</v>
      </c>
      <c r="AE17" s="250">
        <f>(159.41)-30-0.02</f>
        <v>129.38999999999999</v>
      </c>
      <c r="AF17" s="348">
        <f t="shared" si="7"/>
        <v>1912.8983333333335</v>
      </c>
      <c r="AG17" s="348">
        <f t="shared" si="8"/>
        <v>1912.9</v>
      </c>
      <c r="AH17" s="337">
        <v>1739</v>
      </c>
      <c r="AI17" s="349"/>
    </row>
    <row r="18" spans="15:45" ht="15" x14ac:dyDescent="0.25">
      <c r="R18" s="7"/>
      <c r="S18" s="372" t="s">
        <v>210</v>
      </c>
      <c r="T18" s="250">
        <f>(AG18/12)-80</f>
        <v>195.00000000000006</v>
      </c>
      <c r="U18" s="250">
        <f>(275)-65</f>
        <v>210</v>
      </c>
      <c r="V18" s="250">
        <f>(275)+7</f>
        <v>282</v>
      </c>
      <c r="W18" s="250">
        <f>(275)+13</f>
        <v>288</v>
      </c>
      <c r="X18" s="250">
        <f>(275)+31-14</f>
        <v>292</v>
      </c>
      <c r="Y18" s="250">
        <f>(275)+50</f>
        <v>325</v>
      </c>
      <c r="Z18" s="250">
        <f>(275)+27</f>
        <v>302</v>
      </c>
      <c r="AA18" s="250">
        <f>(275)+14</f>
        <v>289</v>
      </c>
      <c r="AB18" s="250">
        <f>(275)+9</f>
        <v>284</v>
      </c>
      <c r="AC18" s="250">
        <f>(275)+5</f>
        <v>280</v>
      </c>
      <c r="AD18" s="250">
        <f>(275)+3</f>
        <v>278</v>
      </c>
      <c r="AE18" s="250">
        <v>275</v>
      </c>
      <c r="AF18" s="348">
        <f t="shared" si="7"/>
        <v>3300</v>
      </c>
      <c r="AG18" s="348">
        <f t="shared" si="8"/>
        <v>3300.0000000000005</v>
      </c>
      <c r="AH18" s="337">
        <v>3000</v>
      </c>
      <c r="AI18" s="349"/>
    </row>
    <row r="19" spans="15:45" ht="15" x14ac:dyDescent="0.25">
      <c r="O19" s="10"/>
      <c r="Q19" s="10"/>
      <c r="R19" s="7"/>
      <c r="S19" s="346" t="s">
        <v>4</v>
      </c>
      <c r="T19" s="250">
        <f>(AG19/12)-350</f>
        <v>468.2166666666667</v>
      </c>
      <c r="U19" s="250">
        <f>(818.22)-180</f>
        <v>638.22</v>
      </c>
      <c r="V19" s="250">
        <f>(818.22)+58</f>
        <v>876.22</v>
      </c>
      <c r="W19" s="250">
        <f>(818.22)+89</f>
        <v>907.22</v>
      </c>
      <c r="X19" s="250">
        <f>(818.22)+131</f>
        <v>949.22</v>
      </c>
      <c r="Y19" s="250">
        <f>(818.22)+268</f>
        <v>1086.22</v>
      </c>
      <c r="Z19" s="250">
        <f>(818.22)+40</f>
        <v>858.22</v>
      </c>
      <c r="AA19" s="250">
        <f>(818.22)+160</f>
        <v>978.22</v>
      </c>
      <c r="AB19" s="250">
        <f>(818.22)+110</f>
        <v>928.22</v>
      </c>
      <c r="AC19" s="250">
        <f>(818.22)-136</f>
        <v>682.22</v>
      </c>
      <c r="AD19" s="250">
        <f>(818.22)-110</f>
        <v>708.22</v>
      </c>
      <c r="AE19" s="250">
        <f>(818.22)-80-0.04</f>
        <v>738.18000000000006</v>
      </c>
      <c r="AF19" s="348">
        <f t="shared" si="7"/>
        <v>9818.5966666666682</v>
      </c>
      <c r="AG19" s="348">
        <f t="shared" si="8"/>
        <v>9818.6</v>
      </c>
      <c r="AH19" s="337">
        <v>8926</v>
      </c>
      <c r="AI19" s="349"/>
    </row>
    <row r="20" spans="15:45" ht="15" x14ac:dyDescent="0.25">
      <c r="Q20" s="10"/>
      <c r="R20" s="7"/>
      <c r="S20" s="346" t="s">
        <v>156</v>
      </c>
      <c r="T20" s="250">
        <f>(AG20/12)+97</f>
        <v>1797.325</v>
      </c>
      <c r="U20" s="250">
        <f>(1700.33)+145</f>
        <v>1845.33</v>
      </c>
      <c r="V20" s="250">
        <f>(1700.33)+90</f>
        <v>1790.33</v>
      </c>
      <c r="W20" s="250">
        <f>(1700.33)-29</f>
        <v>1671.33</v>
      </c>
      <c r="X20" s="250">
        <f>(1700.33)-150</f>
        <v>1550.33</v>
      </c>
      <c r="Y20" s="250">
        <f>(1700.33)-448</f>
        <v>1252.33</v>
      </c>
      <c r="Z20" s="250">
        <f>(1700.33)+75</f>
        <v>1775.33</v>
      </c>
      <c r="AA20" s="250">
        <f>(1700.33)+13</f>
        <v>1713.33</v>
      </c>
      <c r="AB20" s="250">
        <f>(1700.33)+134</f>
        <v>1834.33</v>
      </c>
      <c r="AC20" s="250">
        <f>(1700.33)+189</f>
        <v>1889.33</v>
      </c>
      <c r="AD20" s="250">
        <f>(1700.33)+112</f>
        <v>1812.33</v>
      </c>
      <c r="AE20" s="250">
        <f>(1700.33)-228-0.06</f>
        <v>1472.27</v>
      </c>
      <c r="AF20" s="348">
        <f t="shared" si="7"/>
        <v>20403.895</v>
      </c>
      <c r="AG20" s="348">
        <f t="shared" si="8"/>
        <v>20403.900000000001</v>
      </c>
      <c r="AH20" s="337">
        <v>18549</v>
      </c>
      <c r="AI20" s="349"/>
    </row>
    <row r="21" spans="15:45" ht="15" x14ac:dyDescent="0.25">
      <c r="O21" s="10"/>
      <c r="P21" s="10"/>
      <c r="R21" s="7"/>
      <c r="S21" s="346" t="s">
        <v>3</v>
      </c>
      <c r="T21" s="250">
        <f t="shared" ref="T21" si="9">AG21/12</f>
        <v>213.4</v>
      </c>
      <c r="U21" s="250">
        <f t="shared" ref="U21:AE45" si="10">T21</f>
        <v>213.4</v>
      </c>
      <c r="V21" s="250">
        <f t="shared" si="10"/>
        <v>213.4</v>
      </c>
      <c r="W21" s="250">
        <f t="shared" si="10"/>
        <v>213.4</v>
      </c>
      <c r="X21" s="250">
        <f t="shared" si="10"/>
        <v>213.4</v>
      </c>
      <c r="Y21" s="250">
        <f t="shared" si="10"/>
        <v>213.4</v>
      </c>
      <c r="Z21" s="250">
        <f t="shared" si="10"/>
        <v>213.4</v>
      </c>
      <c r="AA21" s="250">
        <f t="shared" si="10"/>
        <v>213.4</v>
      </c>
      <c r="AB21" s="250">
        <f t="shared" si="10"/>
        <v>213.4</v>
      </c>
      <c r="AC21" s="250">
        <f t="shared" si="10"/>
        <v>213.4</v>
      </c>
      <c r="AD21" s="250">
        <f t="shared" si="10"/>
        <v>213.4</v>
      </c>
      <c r="AE21" s="250">
        <f t="shared" si="10"/>
        <v>213.4</v>
      </c>
      <c r="AF21" s="348">
        <f t="shared" si="7"/>
        <v>2560.8000000000006</v>
      </c>
      <c r="AG21" s="348">
        <f t="shared" si="8"/>
        <v>2560.8000000000002</v>
      </c>
      <c r="AH21" s="337">
        <v>2328</v>
      </c>
      <c r="AI21" s="349"/>
    </row>
    <row r="22" spans="15:45" ht="15" x14ac:dyDescent="0.25">
      <c r="Q22" s="10"/>
      <c r="R22" s="7"/>
      <c r="S22" s="346" t="s">
        <v>168</v>
      </c>
      <c r="T22" s="250">
        <f>(AG22/12)+18</f>
        <v>917.61666666666679</v>
      </c>
      <c r="U22" s="250">
        <f>(899.62)+13</f>
        <v>912.62</v>
      </c>
      <c r="V22" s="250">
        <f>(899.62)+45</f>
        <v>944.62</v>
      </c>
      <c r="W22" s="250">
        <f>(899.62)-23</f>
        <v>876.62</v>
      </c>
      <c r="X22" s="250">
        <f>(899.62)+9</f>
        <v>908.62</v>
      </c>
      <c r="Y22" s="250">
        <f>(899.62)-4</f>
        <v>895.62</v>
      </c>
      <c r="Z22" s="250">
        <f>(899.62)+24</f>
        <v>923.62</v>
      </c>
      <c r="AA22" s="250">
        <f>(899.62)-44</f>
        <v>855.62</v>
      </c>
      <c r="AB22" s="250">
        <f>(899.62)+11</f>
        <v>910.62</v>
      </c>
      <c r="AC22" s="250">
        <f>(899.62)+8</f>
        <v>907.62</v>
      </c>
      <c r="AD22" s="250">
        <f>(899.62)-12</f>
        <v>887.62</v>
      </c>
      <c r="AE22" s="250">
        <f>(899.62)-45-0.04</f>
        <v>854.58</v>
      </c>
      <c r="AF22" s="348">
        <f t="shared" si="7"/>
        <v>10795.396666666667</v>
      </c>
      <c r="AG22" s="348">
        <f t="shared" si="8"/>
        <v>10795.400000000001</v>
      </c>
      <c r="AH22" s="337">
        <v>9814</v>
      </c>
      <c r="AI22" s="349"/>
    </row>
    <row r="23" spans="15:45" ht="15" x14ac:dyDescent="0.25">
      <c r="P23" s="10"/>
      <c r="Q23" s="10"/>
      <c r="R23" s="7"/>
      <c r="S23" s="346" t="s">
        <v>169</v>
      </c>
      <c r="T23" s="250">
        <f>(AG23/12)-35</f>
        <v>59.783333333333346</v>
      </c>
      <c r="U23" s="250">
        <f>(94.78)-14</f>
        <v>80.78</v>
      </c>
      <c r="V23" s="250">
        <f>(94.78)+5</f>
        <v>99.78</v>
      </c>
      <c r="W23" s="250">
        <f>(94.78)+11.04</f>
        <v>105.82</v>
      </c>
      <c r="X23" s="250">
        <f>(94.78)+15</f>
        <v>109.78</v>
      </c>
      <c r="Y23" s="250">
        <f>(94.78)+25</f>
        <v>119.78</v>
      </c>
      <c r="Z23" s="250">
        <f>(94.78)+18</f>
        <v>112.78</v>
      </c>
      <c r="AA23" s="250">
        <f>(94.78)+11</f>
        <v>105.78</v>
      </c>
      <c r="AB23" s="250">
        <f>(94.78)+5</f>
        <v>99.78</v>
      </c>
      <c r="AC23" s="250">
        <f>(94.78)-8</f>
        <v>86.78</v>
      </c>
      <c r="AD23" s="250">
        <f>(94.78)-11</f>
        <v>83.78</v>
      </c>
      <c r="AE23" s="250">
        <f>(94.78)-22</f>
        <v>72.78</v>
      </c>
      <c r="AF23" s="348">
        <f t="shared" si="7"/>
        <v>1137.4033333333332</v>
      </c>
      <c r="AG23" s="348">
        <f t="shared" si="8"/>
        <v>1137.4000000000001</v>
      </c>
      <c r="AH23" s="337">
        <v>1034</v>
      </c>
      <c r="AI23" s="349" t="s">
        <v>305</v>
      </c>
      <c r="AM23" s="379" t="s">
        <v>306</v>
      </c>
      <c r="AS23" s="379" t="s">
        <v>307</v>
      </c>
    </row>
    <row r="24" spans="15:45" ht="15" x14ac:dyDescent="0.25">
      <c r="Q24" s="10"/>
      <c r="R24" s="7"/>
      <c r="S24" s="346" t="s">
        <v>24</v>
      </c>
      <c r="T24" s="250">
        <f>(AG24/12)-75</f>
        <v>595.90833333333342</v>
      </c>
      <c r="U24" s="250">
        <f>(670.91)+110</f>
        <v>780.91</v>
      </c>
      <c r="V24" s="250">
        <f>(670.91)-12</f>
        <v>658.91</v>
      </c>
      <c r="W24" s="250">
        <f>(670.91)+45</f>
        <v>715.91</v>
      </c>
      <c r="X24" s="250">
        <f>(670.91)+67</f>
        <v>737.91</v>
      </c>
      <c r="Y24" s="250">
        <f>(670.91)-76</f>
        <v>594.91</v>
      </c>
      <c r="Z24" s="250">
        <f>(670.91)+132</f>
        <v>802.91</v>
      </c>
      <c r="AA24" s="250">
        <f>(670.91)-234</f>
        <v>436.90999999999997</v>
      </c>
      <c r="AB24" s="250">
        <f>(670.91)+321</f>
        <v>991.91</v>
      </c>
      <c r="AC24" s="250">
        <f>(670.91)-419</f>
        <v>251.90999999999997</v>
      </c>
      <c r="AD24" s="250">
        <f>(670.91)+54</f>
        <v>724.91</v>
      </c>
      <c r="AE24" s="250">
        <f>(670.91)+87-0.02</f>
        <v>757.89</v>
      </c>
      <c r="AF24" s="348">
        <f t="shared" si="7"/>
        <v>8050.8983333333326</v>
      </c>
      <c r="AG24" s="348">
        <f t="shared" si="8"/>
        <v>8050.9000000000005</v>
      </c>
      <c r="AH24" s="337">
        <v>7319</v>
      </c>
      <c r="AI24" s="349"/>
    </row>
    <row r="25" spans="15:45" ht="15" x14ac:dyDescent="0.25">
      <c r="Q25" s="10"/>
      <c r="R25" s="7"/>
      <c r="S25" s="346" t="s">
        <v>25</v>
      </c>
      <c r="T25" s="250">
        <f>(AG25/12)+58</f>
        <v>259.39166666666665</v>
      </c>
      <c r="U25" s="250">
        <f>(201.39)+23</f>
        <v>224.39</v>
      </c>
      <c r="V25" s="250">
        <f>(201.39)-59</f>
        <v>142.38999999999999</v>
      </c>
      <c r="W25" s="250">
        <f>(201.39)-101</f>
        <v>100.38999999999999</v>
      </c>
      <c r="X25" s="250">
        <f>(201.39)+45</f>
        <v>246.39</v>
      </c>
      <c r="Y25" s="250">
        <f>(201.39)+67</f>
        <v>268.39</v>
      </c>
      <c r="Z25" s="250">
        <f>(201.39)+23</f>
        <v>224.39</v>
      </c>
      <c r="AA25" s="250">
        <f>(201.39)-16</f>
        <v>185.39</v>
      </c>
      <c r="AB25" s="250">
        <f>(201.39)-8</f>
        <v>193.39</v>
      </c>
      <c r="AC25" s="250">
        <f>(201.39)+53</f>
        <v>254.39</v>
      </c>
      <c r="AD25" s="250">
        <f>(201.39)-79</f>
        <v>122.38999999999999</v>
      </c>
      <c r="AE25" s="250">
        <f>(201.39)-6+0.02</f>
        <v>195.41</v>
      </c>
      <c r="AF25" s="348">
        <f t="shared" si="7"/>
        <v>2416.7016666666659</v>
      </c>
      <c r="AG25" s="348">
        <f t="shared" si="8"/>
        <v>2416.7000000000003</v>
      </c>
      <c r="AH25" s="337">
        <v>2197</v>
      </c>
      <c r="AI25" s="349"/>
    </row>
    <row r="26" spans="15:45" ht="15" x14ac:dyDescent="0.25">
      <c r="Q26" s="10"/>
      <c r="R26" s="7"/>
      <c r="S26" s="346" t="s">
        <v>159</v>
      </c>
      <c r="T26" s="250">
        <f>(AG26/12)-534</f>
        <v>709.45833333333348</v>
      </c>
      <c r="U26" s="250">
        <f>(1243.46)-424</f>
        <v>819.46</v>
      </c>
      <c r="V26" s="250">
        <f>(1243.46)+87</f>
        <v>1330.46</v>
      </c>
      <c r="W26" s="250">
        <f>(1243.46)+123</f>
        <v>1366.46</v>
      </c>
      <c r="X26" s="250">
        <f>(1243.46)+242</f>
        <v>1485.46</v>
      </c>
      <c r="Y26" s="250">
        <f>(1243.46)+445</f>
        <v>1688.46</v>
      </c>
      <c r="Z26" s="250">
        <f>(1243.46)+234</f>
        <v>1477.46</v>
      </c>
      <c r="AA26" s="250">
        <f>(1243.46)+123</f>
        <v>1366.46</v>
      </c>
      <c r="AB26" s="250">
        <f>(1243.46)-76</f>
        <v>1167.46</v>
      </c>
      <c r="AC26" s="250">
        <f>(1243.46)-234</f>
        <v>1009.46</v>
      </c>
      <c r="AD26" s="250">
        <f>(1243.46)-73</f>
        <v>1170.46</v>
      </c>
      <c r="AE26" s="250">
        <f>(1243.46)+87</f>
        <v>1330.46</v>
      </c>
      <c r="AF26" s="348">
        <f t="shared" si="7"/>
        <v>14921.51833333333</v>
      </c>
      <c r="AG26" s="348">
        <f t="shared" si="8"/>
        <v>14921.500000000002</v>
      </c>
      <c r="AH26" s="337">
        <v>13565</v>
      </c>
      <c r="AI26" s="378" t="s">
        <v>308</v>
      </c>
    </row>
    <row r="27" spans="15:45" x14ac:dyDescent="0.3">
      <c r="Q27" s="10"/>
      <c r="R27" s="7"/>
      <c r="S27" s="346" t="s">
        <v>160</v>
      </c>
      <c r="T27" s="250">
        <f>(AG27/12)-1234</f>
        <v>2784.9416666666671</v>
      </c>
      <c r="U27" s="250">
        <f>(4018.94)-1002</f>
        <v>3016.94</v>
      </c>
      <c r="V27" s="250">
        <f>(4018.94)-144</f>
        <v>3874.94</v>
      </c>
      <c r="W27" s="250">
        <f>(4018.94)+234</f>
        <v>4252.9400000000005</v>
      </c>
      <c r="X27" s="250">
        <f>(4018.94)+546-126.98</f>
        <v>4437.9600000000009</v>
      </c>
      <c r="Y27" s="250">
        <f>(4018.94)+1044</f>
        <v>5062.9400000000005</v>
      </c>
      <c r="Z27" s="250">
        <f>(4018.94)+576</f>
        <v>4594.9400000000005</v>
      </c>
      <c r="AA27" s="250">
        <f>(4018.94)+375</f>
        <v>4393.9400000000005</v>
      </c>
      <c r="AB27" s="250">
        <f>(4018.94)+32</f>
        <v>4050.94</v>
      </c>
      <c r="AC27" s="250">
        <f>(4018.94)-45</f>
        <v>3973.94</v>
      </c>
      <c r="AD27" s="250">
        <f>(4018.94)-125</f>
        <v>3893.94</v>
      </c>
      <c r="AE27" s="250">
        <f>(4018.94)-130</f>
        <v>3888.94</v>
      </c>
      <c r="AF27" s="348">
        <f t="shared" si="7"/>
        <v>48227.301666666681</v>
      </c>
      <c r="AG27" s="348">
        <f t="shared" si="8"/>
        <v>48227.3</v>
      </c>
      <c r="AH27" s="337">
        <v>43843</v>
      </c>
      <c r="AI27" s="349"/>
    </row>
    <row r="28" spans="15:45" x14ac:dyDescent="0.3">
      <c r="Q28" s="10"/>
      <c r="R28" s="7"/>
      <c r="S28" s="346" t="s">
        <v>167</v>
      </c>
      <c r="T28" s="250">
        <f>(AG28/12)-96</f>
        <v>294.68333333333339</v>
      </c>
      <c r="U28" s="250">
        <f>(390.68)+76</f>
        <v>466.68</v>
      </c>
      <c r="V28" s="250">
        <f>(390.68)+45</f>
        <v>435.68</v>
      </c>
      <c r="W28" s="250">
        <f>(390.68)+34</f>
        <v>424.68</v>
      </c>
      <c r="X28" s="250">
        <f>(390.68)-23</f>
        <v>367.68</v>
      </c>
      <c r="Y28" s="250">
        <f>(390.68)+123</f>
        <v>513.68000000000006</v>
      </c>
      <c r="Z28" s="250">
        <f>(390.68)-27</f>
        <v>363.68</v>
      </c>
      <c r="AA28" s="250">
        <f>(390.68)+13</f>
        <v>403.68</v>
      </c>
      <c r="AB28" s="250">
        <f>(390.68)-49</f>
        <v>341.68</v>
      </c>
      <c r="AC28" s="250">
        <f>(390.68)+20</f>
        <v>410.68</v>
      </c>
      <c r="AD28" s="250">
        <f>(390.68)+34</f>
        <v>424.68</v>
      </c>
      <c r="AE28" s="250">
        <f>(390.68)-150+0.04</f>
        <v>240.72</v>
      </c>
      <c r="AF28" s="348">
        <f t="shared" si="7"/>
        <v>4688.2033333333338</v>
      </c>
      <c r="AG28" s="348">
        <f t="shared" si="8"/>
        <v>4688.2000000000007</v>
      </c>
      <c r="AH28" s="337">
        <v>4262</v>
      </c>
      <c r="AI28" s="349"/>
    </row>
    <row r="29" spans="15:45" x14ac:dyDescent="0.3">
      <c r="Q29" s="10"/>
      <c r="R29" s="7"/>
      <c r="S29" s="350" t="s">
        <v>183</v>
      </c>
      <c r="T29" s="250">
        <f t="shared" ref="T29" si="11">AG29/12</f>
        <v>6513.833333333333</v>
      </c>
      <c r="U29" s="250">
        <f t="shared" ref="U29:AE29" si="12">T29</f>
        <v>6513.833333333333</v>
      </c>
      <c r="V29" s="250">
        <f t="shared" si="12"/>
        <v>6513.833333333333</v>
      </c>
      <c r="W29" s="250">
        <f t="shared" si="12"/>
        <v>6513.833333333333</v>
      </c>
      <c r="X29" s="250">
        <f t="shared" si="12"/>
        <v>6513.833333333333</v>
      </c>
      <c r="Y29" s="250">
        <f t="shared" si="12"/>
        <v>6513.833333333333</v>
      </c>
      <c r="Z29" s="250">
        <f t="shared" si="12"/>
        <v>6513.833333333333</v>
      </c>
      <c r="AA29" s="250">
        <f t="shared" si="12"/>
        <v>6513.833333333333</v>
      </c>
      <c r="AB29" s="250">
        <f t="shared" si="12"/>
        <v>6513.833333333333</v>
      </c>
      <c r="AC29" s="250">
        <f t="shared" si="12"/>
        <v>6513.833333333333</v>
      </c>
      <c r="AD29" s="250">
        <f t="shared" si="12"/>
        <v>6513.833333333333</v>
      </c>
      <c r="AE29" s="250">
        <f t="shared" si="12"/>
        <v>6513.833333333333</v>
      </c>
      <c r="AF29" s="348">
        <f t="shared" si="7"/>
        <v>78166</v>
      </c>
      <c r="AG29" s="333">
        <f t="shared" si="8"/>
        <v>78166</v>
      </c>
      <c r="AH29" s="337">
        <v>71060</v>
      </c>
      <c r="AI29" s="378" t="s">
        <v>309</v>
      </c>
    </row>
    <row r="30" spans="15:45" x14ac:dyDescent="0.3">
      <c r="P30" s="236"/>
      <c r="Q30" s="10"/>
      <c r="R30" s="7"/>
      <c r="S30" s="346" t="s">
        <v>253</v>
      </c>
      <c r="T30" s="250">
        <f>(AG30/12)+34</f>
        <v>351.16666666666669</v>
      </c>
      <c r="U30" s="250">
        <f>(288.33)-45</f>
        <v>243.32999999999998</v>
      </c>
      <c r="V30" s="250">
        <f>(288.33)+18</f>
        <v>306.33</v>
      </c>
      <c r="W30" s="250">
        <f>(288.33)-8.8</f>
        <v>279.52999999999997</v>
      </c>
      <c r="X30" s="250">
        <f>(288.33)+54-4</f>
        <v>338.33</v>
      </c>
      <c r="Y30" s="250">
        <f>(288.33)-98-28</f>
        <v>162.32999999999998</v>
      </c>
      <c r="Z30" s="250">
        <f>(288.33)+87</f>
        <v>375.33</v>
      </c>
      <c r="AA30" s="250">
        <f>(288.33)+182</f>
        <v>470.33</v>
      </c>
      <c r="AB30" s="250">
        <f>(288.33)-29</f>
        <v>259.33</v>
      </c>
      <c r="AC30" s="250">
        <f>(288.33)+170</f>
        <v>458.33</v>
      </c>
      <c r="AD30" s="250">
        <f>(288.33)-78</f>
        <v>210.32999999999998</v>
      </c>
      <c r="AE30" s="250">
        <f>(288.33)+63</f>
        <v>351.33</v>
      </c>
      <c r="AF30" s="348">
        <f t="shared" si="7"/>
        <v>3805.996666666666</v>
      </c>
      <c r="AG30" s="333">
        <f t="shared" si="8"/>
        <v>3806.0000000000005</v>
      </c>
      <c r="AH30" s="337">
        <v>3460</v>
      </c>
      <c r="AI30" s="349"/>
    </row>
    <row r="31" spans="15:45" x14ac:dyDescent="0.3">
      <c r="Q31" s="10"/>
      <c r="R31" s="7"/>
      <c r="S31" s="346" t="s">
        <v>157</v>
      </c>
      <c r="T31" s="250">
        <f>(AG31/12)-87</f>
        <v>515.89166666666677</v>
      </c>
      <c r="U31" s="250">
        <f>(548.08)-76</f>
        <v>472.08000000000004</v>
      </c>
      <c r="V31" s="250">
        <f>(548.08)+165</f>
        <v>713.08</v>
      </c>
      <c r="W31" s="250">
        <f>(548.08)+43</f>
        <v>591.08000000000004</v>
      </c>
      <c r="X31" s="250">
        <f>(548.08)+223</f>
        <v>771.08</v>
      </c>
      <c r="Y31" s="250">
        <f>(548.08)-64</f>
        <v>484.08000000000004</v>
      </c>
      <c r="Z31" s="250">
        <f>(548.08)-17</f>
        <v>531.08000000000004</v>
      </c>
      <c r="AA31" s="250">
        <f>(548.08)-31</f>
        <v>517.08000000000004</v>
      </c>
      <c r="AB31" s="250">
        <f>(548.08)+308</f>
        <v>856.08</v>
      </c>
      <c r="AC31" s="250">
        <f>(548.08)+28+66</f>
        <v>642.08000000000004</v>
      </c>
      <c r="AD31" s="250">
        <f>(548.08)+143</f>
        <v>691.08</v>
      </c>
      <c r="AE31" s="250">
        <f>(548.08)-97.77+0.7-1</f>
        <v>450.01000000000005</v>
      </c>
      <c r="AF31" s="348">
        <f t="shared" si="7"/>
        <v>7234.7016666666668</v>
      </c>
      <c r="AG31" s="333">
        <f t="shared" si="8"/>
        <v>7234.7000000000007</v>
      </c>
      <c r="AH31" s="337">
        <v>6577</v>
      </c>
      <c r="AI31" s="7" t="s">
        <v>298</v>
      </c>
    </row>
    <row r="32" spans="15:45" x14ac:dyDescent="0.3">
      <c r="Q32" s="10"/>
      <c r="R32" s="7"/>
      <c r="S32" s="346" t="s">
        <v>55</v>
      </c>
      <c r="T32" s="250">
        <f>(AG32/12)+248</f>
        <v>584.6</v>
      </c>
      <c r="U32" s="250">
        <f>(306)-41</f>
        <v>265</v>
      </c>
      <c r="V32" s="250">
        <f>(306)+190</f>
        <v>496</v>
      </c>
      <c r="W32" s="250">
        <f>(306)-76</f>
        <v>230</v>
      </c>
      <c r="X32" s="250">
        <f>(306)+20</f>
        <v>326</v>
      </c>
      <c r="Y32" s="250">
        <f>(306)+28</f>
        <v>334</v>
      </c>
      <c r="Z32" s="250">
        <f>(306)+84</f>
        <v>390</v>
      </c>
      <c r="AA32" s="250">
        <f>(306)+17</f>
        <v>323</v>
      </c>
      <c r="AB32" s="250">
        <f>(306)-48.6</f>
        <v>257.39999999999998</v>
      </c>
      <c r="AC32" s="250">
        <f>(306)+27</f>
        <v>333</v>
      </c>
      <c r="AD32" s="250">
        <f>(306)-92</f>
        <v>214</v>
      </c>
      <c r="AE32" s="250">
        <f>(306)-20+0.2</f>
        <v>286.2</v>
      </c>
      <c r="AF32" s="348">
        <f t="shared" si="7"/>
        <v>4039.2</v>
      </c>
      <c r="AG32" s="333">
        <f t="shared" si="8"/>
        <v>4039.2000000000003</v>
      </c>
      <c r="AH32" s="337">
        <v>3672</v>
      </c>
      <c r="AI32" s="378" t="s">
        <v>297</v>
      </c>
    </row>
    <row r="33" spans="5:42" x14ac:dyDescent="0.3">
      <c r="Q33" s="10"/>
      <c r="R33" s="7"/>
      <c r="S33" s="351" t="s">
        <v>177</v>
      </c>
      <c r="T33" s="250">
        <f>(AG33/12)-79</f>
        <v>80.041666666666686</v>
      </c>
      <c r="U33" s="250">
        <f>(159.04)-26-50</f>
        <v>83.039999999999992</v>
      </c>
      <c r="V33" s="250">
        <f>(159.04)+14</f>
        <v>173.04</v>
      </c>
      <c r="W33" s="250">
        <f>(159.04)+27</f>
        <v>186.04</v>
      </c>
      <c r="X33" s="250">
        <f>(159.04)+34</f>
        <v>193.04</v>
      </c>
      <c r="Y33" s="250">
        <f>(159.04)+98</f>
        <v>257.03999999999996</v>
      </c>
      <c r="Z33" s="250">
        <f>(159.04)+65</f>
        <v>224.04</v>
      </c>
      <c r="AA33" s="250">
        <f>(159.04)+16+5</f>
        <v>180.04</v>
      </c>
      <c r="AB33" s="250">
        <f>(159.04)+9</f>
        <v>168.04</v>
      </c>
      <c r="AC33" s="250">
        <f>(159.04)-12.48</f>
        <v>146.56</v>
      </c>
      <c r="AD33" s="250">
        <f>(159.04)-44</f>
        <v>115.03999999999999</v>
      </c>
      <c r="AE33" s="250">
        <f>(159.04)-56+0.5-1</f>
        <v>102.53999999999999</v>
      </c>
      <c r="AF33" s="348">
        <f t="shared" si="7"/>
        <v>1908.5016666666663</v>
      </c>
      <c r="AG33" s="333">
        <f t="shared" si="8"/>
        <v>1908.5000000000002</v>
      </c>
      <c r="AH33" s="337">
        <v>1735</v>
      </c>
      <c r="AI33" s="378" t="s">
        <v>303</v>
      </c>
    </row>
    <row r="34" spans="5:42" x14ac:dyDescent="0.3">
      <c r="R34" s="7"/>
      <c r="S34" s="352" t="s">
        <v>132</v>
      </c>
      <c r="T34" s="250">
        <v>5000</v>
      </c>
      <c r="U34" s="250"/>
      <c r="V34" s="250"/>
      <c r="W34" s="250">
        <f>(SUM(T11:V11)/11)-(SUM(T13:V33)/11)</f>
        <v>23411.017414886453</v>
      </c>
      <c r="X34" s="250"/>
      <c r="Y34" s="250"/>
      <c r="Z34" s="250">
        <f>SUM(W11:Y11)/11-SUM(W13:Y33)/11</f>
        <v>18866.82101095179</v>
      </c>
      <c r="AA34" s="250"/>
      <c r="AB34" s="250"/>
      <c r="AC34" s="250">
        <f>SUM(Z11:AB11)/11-SUM(Z13:AB33)/11</f>
        <v>21721.923749096324</v>
      </c>
      <c r="AD34" s="250"/>
      <c r="AE34" s="250"/>
      <c r="AF34" s="348">
        <f t="shared" si="7"/>
        <v>68999.762174934571</v>
      </c>
      <c r="AG34" s="333">
        <f>AF34</f>
        <v>68999.762174934571</v>
      </c>
      <c r="AH34" s="337"/>
      <c r="AI34" s="349"/>
    </row>
    <row r="35" spans="5:42" x14ac:dyDescent="0.3">
      <c r="E35" s="298"/>
      <c r="R35" s="7"/>
      <c r="S35" s="350" t="s">
        <v>99</v>
      </c>
      <c r="T35" s="250">
        <f>AG35/26*3</f>
        <v>8076.9230769230771</v>
      </c>
      <c r="U35" s="250">
        <f>AG35/26*2</f>
        <v>5384.6153846153848</v>
      </c>
      <c r="V35" s="250">
        <f>AH35/26*2</f>
        <v>5384.6153846153848</v>
      </c>
      <c r="W35" s="250">
        <v>5384.62</v>
      </c>
      <c r="X35" s="250">
        <v>5384.62</v>
      </c>
      <c r="Y35" s="250">
        <v>5384.62</v>
      </c>
      <c r="Z35" s="250">
        <v>8076.92</v>
      </c>
      <c r="AA35" s="250">
        <v>5384.62</v>
      </c>
      <c r="AB35" s="250">
        <v>5384.62</v>
      </c>
      <c r="AC35" s="250">
        <v>5384.62</v>
      </c>
      <c r="AD35" s="250">
        <v>5384.62</v>
      </c>
      <c r="AE35" s="250">
        <f>5384.62-0.03</f>
        <v>5384.59</v>
      </c>
      <c r="AF35" s="348">
        <f t="shared" si="7"/>
        <v>70000.00384615385</v>
      </c>
      <c r="AG35" s="333">
        <f>AH35</f>
        <v>70000</v>
      </c>
      <c r="AH35" s="337">
        <v>70000</v>
      </c>
      <c r="AI35" s="349"/>
    </row>
    <row r="36" spans="5:42" x14ac:dyDescent="0.3">
      <c r="P36" s="277"/>
      <c r="R36" s="7"/>
      <c r="S36" s="350" t="s">
        <v>98</v>
      </c>
      <c r="T36" s="250">
        <f>AG36/26*3</f>
        <v>8076.9230769230771</v>
      </c>
      <c r="U36" s="250">
        <f>AG36/26*2</f>
        <v>5384.6153846153848</v>
      </c>
      <c r="V36" s="250">
        <f>AH36/26*2</f>
        <v>5384.6153846153848</v>
      </c>
      <c r="W36" s="250">
        <v>5384.62</v>
      </c>
      <c r="X36" s="250">
        <v>5384.62</v>
      </c>
      <c r="Y36" s="250">
        <v>5384.62</v>
      </c>
      <c r="Z36" s="250">
        <v>8076.92</v>
      </c>
      <c r="AA36" s="250">
        <v>5384.62</v>
      </c>
      <c r="AB36" s="250">
        <v>5384.62</v>
      </c>
      <c r="AC36" s="250">
        <v>5384.62</v>
      </c>
      <c r="AD36" s="250">
        <v>5384.62</v>
      </c>
      <c r="AE36" s="250">
        <f>5384.62-0.03</f>
        <v>5384.59</v>
      </c>
      <c r="AF36" s="348">
        <f t="shared" si="7"/>
        <v>70000.00384615385</v>
      </c>
      <c r="AG36" s="333">
        <f t="shared" ref="AG36:AG45" si="13">AH36</f>
        <v>70000</v>
      </c>
      <c r="AH36" s="337">
        <v>70000</v>
      </c>
      <c r="AI36" s="349"/>
    </row>
    <row r="37" spans="5:42" x14ac:dyDescent="0.3">
      <c r="P37" s="35"/>
      <c r="R37" s="7"/>
      <c r="S37" s="347" t="s">
        <v>57</v>
      </c>
      <c r="T37" s="250">
        <v>10961.65</v>
      </c>
      <c r="U37" s="250">
        <v>7307.77</v>
      </c>
      <c r="V37" s="250">
        <v>7307.77</v>
      </c>
      <c r="W37" s="250">
        <v>7307.77</v>
      </c>
      <c r="X37" s="250">
        <v>7307.77</v>
      </c>
      <c r="Y37" s="250">
        <v>7307.77</v>
      </c>
      <c r="Z37" s="250">
        <v>10961.65</v>
      </c>
      <c r="AA37" s="250">
        <v>7307.77</v>
      </c>
      <c r="AB37" s="250">
        <v>7307.77</v>
      </c>
      <c r="AC37" s="250">
        <v>7307.77</v>
      </c>
      <c r="AD37" s="250">
        <v>7307.77</v>
      </c>
      <c r="AE37" s="250">
        <v>7307.77</v>
      </c>
      <c r="AF37" s="348">
        <f t="shared" si="7"/>
        <v>95001.000000000015</v>
      </c>
      <c r="AG37" s="333">
        <f t="shared" si="13"/>
        <v>95001</v>
      </c>
      <c r="AH37" s="337">
        <v>95001</v>
      </c>
      <c r="AI37" s="349"/>
    </row>
    <row r="38" spans="5:42" x14ac:dyDescent="0.3">
      <c r="R38" s="7"/>
      <c r="S38" s="347" t="s">
        <v>58</v>
      </c>
      <c r="T38" s="250">
        <v>10576.85</v>
      </c>
      <c r="U38" s="343">
        <v>7051.23</v>
      </c>
      <c r="V38" s="343">
        <v>7051.23</v>
      </c>
      <c r="W38" s="343">
        <v>7051.23</v>
      </c>
      <c r="X38" s="343">
        <v>7051.23</v>
      </c>
      <c r="Y38" s="343">
        <v>7051.23</v>
      </c>
      <c r="Z38" s="250">
        <v>10576.85</v>
      </c>
      <c r="AA38" s="343">
        <v>7051.23</v>
      </c>
      <c r="AB38" s="343">
        <v>7051.23</v>
      </c>
      <c r="AC38" s="343">
        <v>7051.23</v>
      </c>
      <c r="AD38" s="343">
        <v>7051.23</v>
      </c>
      <c r="AE38" s="343">
        <v>7051.23</v>
      </c>
      <c r="AF38" s="348">
        <f t="shared" si="7"/>
        <v>91665.999999999985</v>
      </c>
      <c r="AG38" s="333">
        <f t="shared" si="13"/>
        <v>91666</v>
      </c>
      <c r="AH38" s="337">
        <v>91666</v>
      </c>
      <c r="AI38" s="349"/>
    </row>
    <row r="39" spans="5:42" x14ac:dyDescent="0.3">
      <c r="R39" s="7"/>
      <c r="S39" s="347" t="s">
        <v>59</v>
      </c>
      <c r="T39" s="250">
        <v>7307.65</v>
      </c>
      <c r="U39" s="250">
        <v>4871.7700000000004</v>
      </c>
      <c r="V39" s="250">
        <v>4871.7700000000004</v>
      </c>
      <c r="W39" s="250">
        <v>4871.7700000000004</v>
      </c>
      <c r="X39" s="250">
        <v>4871.7700000000004</v>
      </c>
      <c r="Y39" s="250">
        <v>4871.7700000000004</v>
      </c>
      <c r="Z39" s="250">
        <v>7307.65</v>
      </c>
      <c r="AA39" s="250">
        <v>4871.7700000000004</v>
      </c>
      <c r="AB39" s="250">
        <v>4871.7700000000004</v>
      </c>
      <c r="AC39" s="250">
        <v>4871.7700000000004</v>
      </c>
      <c r="AD39" s="250">
        <v>4871.7700000000004</v>
      </c>
      <c r="AE39" s="250">
        <v>4871.7700000000004</v>
      </c>
      <c r="AF39" s="348">
        <f t="shared" si="7"/>
        <v>63333.000000000015</v>
      </c>
      <c r="AG39" s="333">
        <f t="shared" si="13"/>
        <v>63333</v>
      </c>
      <c r="AH39" s="337">
        <v>63333</v>
      </c>
      <c r="AI39" s="349"/>
    </row>
    <row r="40" spans="5:42" x14ac:dyDescent="0.3">
      <c r="R40" s="7"/>
      <c r="S40" s="347" t="s">
        <v>60</v>
      </c>
      <c r="T40" s="250">
        <f t="shared" ref="T40:X40" si="14">$AH40*T68/12</f>
        <v>11250</v>
      </c>
      <c r="U40" s="250">
        <f t="shared" si="14"/>
        <v>7500</v>
      </c>
      <c r="V40" s="250">
        <f t="shared" si="14"/>
        <v>7500</v>
      </c>
      <c r="W40" s="250">
        <f t="shared" si="14"/>
        <v>7500</v>
      </c>
      <c r="X40" s="250">
        <f t="shared" si="14"/>
        <v>7500</v>
      </c>
      <c r="Y40" s="250">
        <v>1470.54</v>
      </c>
      <c r="Z40" s="250">
        <f t="shared" ref="Z40:AB40" si="15">$AH40*Z68/12</f>
        <v>11250</v>
      </c>
      <c r="AA40" s="250">
        <f t="shared" si="15"/>
        <v>7500</v>
      </c>
      <c r="AB40" s="250">
        <f t="shared" si="15"/>
        <v>7500</v>
      </c>
      <c r="AC40" s="250">
        <f t="shared" ref="AC40:AD40" si="16">$AH40*AC68/12</f>
        <v>7500</v>
      </c>
      <c r="AD40" s="250">
        <f t="shared" si="16"/>
        <v>7500</v>
      </c>
      <c r="AE40" s="250">
        <f>$AH40*AE68/12</f>
        <v>7500</v>
      </c>
      <c r="AF40" s="348">
        <f t="shared" si="7"/>
        <v>91470.540000000008</v>
      </c>
      <c r="AG40" s="333">
        <f t="shared" si="13"/>
        <v>45000</v>
      </c>
      <c r="AH40" s="337">
        <v>45000</v>
      </c>
      <c r="AI40" s="349" t="s">
        <v>349</v>
      </c>
      <c r="AJ40" s="35"/>
    </row>
    <row r="41" spans="5:42" x14ac:dyDescent="0.3">
      <c r="R41" s="7"/>
      <c r="S41" s="347" t="s">
        <v>184</v>
      </c>
      <c r="T41" s="250">
        <f>SUM(T35:T40)*0.09</f>
        <v>5062.4996538461537</v>
      </c>
      <c r="U41" s="250">
        <f t="shared" ref="U41:AE41" si="17">SUM(U35:U40)*0.09</f>
        <v>3375.000069230769</v>
      </c>
      <c r="V41" s="250">
        <f t="shared" si="17"/>
        <v>3375.000069230769</v>
      </c>
      <c r="W41" s="250">
        <f t="shared" si="17"/>
        <v>3375.0009</v>
      </c>
      <c r="X41" s="250">
        <f t="shared" si="17"/>
        <v>3375.0009</v>
      </c>
      <c r="Y41" s="250">
        <f t="shared" si="17"/>
        <v>2832.3495000000003</v>
      </c>
      <c r="Z41" s="250">
        <f t="shared" si="17"/>
        <v>5062.4991</v>
      </c>
      <c r="AA41" s="250">
        <f t="shared" si="17"/>
        <v>3375.0009</v>
      </c>
      <c r="AB41" s="250">
        <f t="shared" si="17"/>
        <v>3375.0009</v>
      </c>
      <c r="AC41" s="250">
        <f t="shared" si="17"/>
        <v>3375.0009</v>
      </c>
      <c r="AD41" s="250">
        <f t="shared" si="17"/>
        <v>3375.0009</v>
      </c>
      <c r="AE41" s="250">
        <f t="shared" si="17"/>
        <v>3374.9954999999995</v>
      </c>
      <c r="AF41" s="348">
        <f>SUM(T41:AE41)</f>
        <v>43332.349292307685</v>
      </c>
      <c r="AG41" s="333">
        <f>AH41</f>
        <v>39150</v>
      </c>
      <c r="AH41" s="359">
        <f>SUM(AH35:AH40)*0.09</f>
        <v>39150</v>
      </c>
      <c r="AI41" s="349"/>
      <c r="AJ41" s="35"/>
    </row>
    <row r="42" spans="5:42" s="7" customFormat="1" x14ac:dyDescent="0.3">
      <c r="S42" s="347" t="s">
        <v>23</v>
      </c>
      <c r="T42" s="250">
        <f>SUM(T35:T41)*0.0175</f>
        <v>1072.9686766346156</v>
      </c>
      <c r="U42" s="250">
        <f t="shared" ref="U42:AE42" si="18">SUM(U35:U41)*0.0175</f>
        <v>715.31251467307698</v>
      </c>
      <c r="V42" s="250">
        <f t="shared" si="18"/>
        <v>715.31251467307698</v>
      </c>
      <c r="W42" s="250">
        <f t="shared" si="18"/>
        <v>715.31269075000012</v>
      </c>
      <c r="X42" s="250">
        <f t="shared" si="18"/>
        <v>715.31269075000012</v>
      </c>
      <c r="Y42" s="250">
        <f t="shared" si="18"/>
        <v>600.3007412500001</v>
      </c>
      <c r="Z42" s="250">
        <f t="shared" si="18"/>
        <v>1072.96855925</v>
      </c>
      <c r="AA42" s="250">
        <f t="shared" si="18"/>
        <v>715.31269075000012</v>
      </c>
      <c r="AB42" s="250">
        <f t="shared" si="18"/>
        <v>715.31269075000012</v>
      </c>
      <c r="AC42" s="250">
        <f t="shared" si="18"/>
        <v>715.31269075000012</v>
      </c>
      <c r="AD42" s="250">
        <f t="shared" si="18"/>
        <v>715.31269075000012</v>
      </c>
      <c r="AE42" s="250">
        <f t="shared" si="18"/>
        <v>715.31154624999999</v>
      </c>
      <c r="AF42" s="348">
        <f>SUM(T42:AE42)</f>
        <v>9184.0506972307703</v>
      </c>
      <c r="AG42" s="333">
        <f t="shared" si="13"/>
        <v>7804</v>
      </c>
      <c r="AH42" s="337">
        <v>7804</v>
      </c>
      <c r="AI42" s="378" t="s">
        <v>302</v>
      </c>
      <c r="AP42" s="7" t="s">
        <v>316</v>
      </c>
    </row>
    <row r="43" spans="5:42" x14ac:dyDescent="0.3">
      <c r="Q43" s="10"/>
      <c r="R43" s="7"/>
      <c r="S43" s="347" t="s">
        <v>149</v>
      </c>
      <c r="T43" s="250">
        <f>(AG43/12)-189</f>
        <v>144.33333333333331</v>
      </c>
      <c r="U43" s="250">
        <f>(333.33)-99</f>
        <v>234.32999999999998</v>
      </c>
      <c r="V43" s="250">
        <f>(333.33)+13</f>
        <v>346.33</v>
      </c>
      <c r="W43" s="250">
        <f>(333.33)+56</f>
        <v>389.33</v>
      </c>
      <c r="X43" s="250">
        <f>(333.33)+88</f>
        <v>421.33</v>
      </c>
      <c r="Y43" s="250">
        <f>(333.33)+108</f>
        <v>441.33</v>
      </c>
      <c r="Z43" s="250">
        <f>(333.33)+45</f>
        <v>378.33</v>
      </c>
      <c r="AA43" s="250">
        <f>(333.33)+13</f>
        <v>346.33</v>
      </c>
      <c r="AB43" s="250">
        <f>(333.33)-9</f>
        <v>324.33</v>
      </c>
      <c r="AC43" s="250">
        <f>(333.33)-13</f>
        <v>320.33</v>
      </c>
      <c r="AD43" s="250">
        <f>(333.33)-12</f>
        <v>321.33</v>
      </c>
      <c r="AE43" s="250">
        <f>(333.33)-0.96</f>
        <v>332.37</v>
      </c>
      <c r="AF43" s="348">
        <f t="shared" si="7"/>
        <v>4000.0033333333326</v>
      </c>
      <c r="AG43" s="333">
        <f t="shared" si="13"/>
        <v>4000</v>
      </c>
      <c r="AH43" s="337">
        <v>4000</v>
      </c>
      <c r="AI43" s="349" t="s">
        <v>299</v>
      </c>
    </row>
    <row r="44" spans="5:42" x14ac:dyDescent="0.3">
      <c r="R44" s="7"/>
      <c r="S44" s="347" t="s">
        <v>61</v>
      </c>
      <c r="T44" s="250">
        <v>18076.849999999999</v>
      </c>
      <c r="U44" s="250">
        <v>12051.23</v>
      </c>
      <c r="V44" s="250">
        <f t="shared" ref="V44:AE45" si="19">U44</f>
        <v>12051.23</v>
      </c>
      <c r="W44" s="250">
        <f t="shared" si="19"/>
        <v>12051.23</v>
      </c>
      <c r="X44" s="250">
        <f t="shared" si="19"/>
        <v>12051.23</v>
      </c>
      <c r="Y44" s="250">
        <f t="shared" si="19"/>
        <v>12051.23</v>
      </c>
      <c r="Z44" s="250">
        <v>18076.849999999999</v>
      </c>
      <c r="AA44" s="250">
        <v>12051.23</v>
      </c>
      <c r="AB44" s="250">
        <f t="shared" si="19"/>
        <v>12051.23</v>
      </c>
      <c r="AC44" s="250">
        <f t="shared" si="19"/>
        <v>12051.23</v>
      </c>
      <c r="AD44" s="250">
        <f t="shared" si="19"/>
        <v>12051.23</v>
      </c>
      <c r="AE44" s="250">
        <f t="shared" si="19"/>
        <v>12051.23</v>
      </c>
      <c r="AF44" s="348">
        <f t="shared" si="7"/>
        <v>156666</v>
      </c>
      <c r="AG44" s="333">
        <f t="shared" si="13"/>
        <v>156666</v>
      </c>
      <c r="AH44" s="337">
        <v>156666</v>
      </c>
      <c r="AI44" s="378" t="s">
        <v>301</v>
      </c>
    </row>
    <row r="45" spans="5:42" x14ac:dyDescent="0.3">
      <c r="R45" s="7"/>
      <c r="S45" s="347" t="s">
        <v>62</v>
      </c>
      <c r="T45" s="250">
        <v>1626.93</v>
      </c>
      <c r="U45" s="250">
        <v>1084.5899999999999</v>
      </c>
      <c r="V45" s="250">
        <f t="shared" si="10"/>
        <v>1084.5899999999999</v>
      </c>
      <c r="W45" s="250">
        <f t="shared" si="10"/>
        <v>1084.5899999999999</v>
      </c>
      <c r="X45" s="250">
        <f t="shared" si="10"/>
        <v>1084.5899999999999</v>
      </c>
      <c r="Y45" s="250">
        <f t="shared" si="10"/>
        <v>1084.5899999999999</v>
      </c>
      <c r="Z45" s="250">
        <v>1626.93</v>
      </c>
      <c r="AA45" s="250">
        <v>1084.5899999999999</v>
      </c>
      <c r="AB45" s="250">
        <f t="shared" si="19"/>
        <v>1084.5899999999999</v>
      </c>
      <c r="AC45" s="250">
        <f t="shared" si="19"/>
        <v>1084.5899999999999</v>
      </c>
      <c r="AD45" s="250">
        <f t="shared" si="19"/>
        <v>1084.5899999999999</v>
      </c>
      <c r="AE45" s="250">
        <f t="shared" si="19"/>
        <v>1084.5899999999999</v>
      </c>
      <c r="AF45" s="348">
        <f t="shared" si="7"/>
        <v>14099.76</v>
      </c>
      <c r="AG45" s="333">
        <f t="shared" si="13"/>
        <v>14099.939999999999</v>
      </c>
      <c r="AH45" s="337">
        <f>AH44*0.09</f>
        <v>14099.939999999999</v>
      </c>
      <c r="AI45" s="349"/>
    </row>
    <row r="46" spans="5:42" s="7" customFormat="1" x14ac:dyDescent="0.3">
      <c r="S46" s="347" t="s">
        <v>23</v>
      </c>
      <c r="T46" s="250">
        <f>SUM(T44:T45)*0.0175</f>
        <v>344.81614999999999</v>
      </c>
      <c r="U46" s="250">
        <f t="shared" ref="U46:AE46" si="20">SUM(U44:U45)*0.0175</f>
        <v>229.87685000000002</v>
      </c>
      <c r="V46" s="250">
        <f t="shared" si="20"/>
        <v>229.87685000000002</v>
      </c>
      <c r="W46" s="250">
        <f t="shared" si="20"/>
        <v>229.87685000000002</v>
      </c>
      <c r="X46" s="250">
        <f t="shared" si="20"/>
        <v>229.87685000000002</v>
      </c>
      <c r="Y46" s="250">
        <f t="shared" si="20"/>
        <v>229.87685000000002</v>
      </c>
      <c r="Z46" s="250">
        <f t="shared" si="20"/>
        <v>344.81614999999999</v>
      </c>
      <c r="AA46" s="250">
        <f t="shared" si="20"/>
        <v>229.87685000000002</v>
      </c>
      <c r="AB46" s="250">
        <f t="shared" si="20"/>
        <v>229.87685000000002</v>
      </c>
      <c r="AC46" s="250">
        <f t="shared" si="20"/>
        <v>229.87685000000002</v>
      </c>
      <c r="AD46" s="250">
        <f t="shared" si="20"/>
        <v>229.87685000000002</v>
      </c>
      <c r="AE46" s="250">
        <f t="shared" si="20"/>
        <v>229.87685000000002</v>
      </c>
      <c r="AF46" s="348">
        <f>SUM(T46:AE46)</f>
        <v>2988.4008000000008</v>
      </c>
      <c r="AG46" s="333">
        <f>AH46+0.4</f>
        <v>2988.4</v>
      </c>
      <c r="AH46" s="337">
        <v>2988</v>
      </c>
      <c r="AI46" s="378" t="s">
        <v>302</v>
      </c>
      <c r="AP46" s="7" t="s">
        <v>317</v>
      </c>
    </row>
    <row r="47" spans="5:42" x14ac:dyDescent="0.3">
      <c r="R47" s="7"/>
      <c r="S47" s="346" t="s">
        <v>161</v>
      </c>
      <c r="T47" s="250">
        <f t="shared" ref="T47:T55" si="21">AG47/12</f>
        <v>418.41666666666669</v>
      </c>
      <c r="U47" s="250">
        <f t="shared" ref="U47:AE47" si="22">T47</f>
        <v>418.41666666666669</v>
      </c>
      <c r="V47" s="250">
        <f t="shared" si="22"/>
        <v>418.41666666666669</v>
      </c>
      <c r="W47" s="250">
        <f t="shared" si="22"/>
        <v>418.41666666666669</v>
      </c>
      <c r="X47" s="250">
        <f t="shared" si="22"/>
        <v>418.41666666666669</v>
      </c>
      <c r="Y47" s="250">
        <f t="shared" si="22"/>
        <v>418.41666666666669</v>
      </c>
      <c r="Z47" s="250">
        <f t="shared" si="22"/>
        <v>418.41666666666669</v>
      </c>
      <c r="AA47" s="250">
        <f t="shared" si="22"/>
        <v>418.41666666666669</v>
      </c>
      <c r="AB47" s="250">
        <f t="shared" si="22"/>
        <v>418.41666666666669</v>
      </c>
      <c r="AC47" s="250">
        <f t="shared" si="22"/>
        <v>418.41666666666669</v>
      </c>
      <c r="AD47" s="250">
        <f t="shared" si="22"/>
        <v>418.41666666666669</v>
      </c>
      <c r="AE47" s="250">
        <f t="shared" si="22"/>
        <v>418.41666666666669</v>
      </c>
      <c r="AF47" s="348">
        <f t="shared" si="7"/>
        <v>5021</v>
      </c>
      <c r="AG47" s="333">
        <f t="shared" ref="AG47:AG55" si="23">AH47</f>
        <v>5021</v>
      </c>
      <c r="AH47" s="337">
        <v>5021</v>
      </c>
      <c r="AI47" s="378" t="s">
        <v>300</v>
      </c>
    </row>
    <row r="48" spans="5:42" x14ac:dyDescent="0.3">
      <c r="Q48" s="10"/>
      <c r="R48" s="7"/>
      <c r="S48" s="346" t="s">
        <v>152</v>
      </c>
      <c r="T48" s="250">
        <f>(AG48/12)-22</f>
        <v>453.83333333333331</v>
      </c>
      <c r="U48" s="250">
        <f>(475.83)+75</f>
        <v>550.82999999999993</v>
      </c>
      <c r="V48" s="250">
        <f>(475.83)+53</f>
        <v>528.82999999999993</v>
      </c>
      <c r="W48" s="250">
        <f>(475.83)-98</f>
        <v>377.83</v>
      </c>
      <c r="X48" s="250">
        <f>(475.83)+21</f>
        <v>496.83</v>
      </c>
      <c r="Y48" s="250">
        <v>475.83</v>
      </c>
      <c r="Z48" s="250">
        <f>(475.83)-19</f>
        <v>456.83</v>
      </c>
      <c r="AA48" s="250">
        <f>(475.83)+99</f>
        <v>574.82999999999993</v>
      </c>
      <c r="AB48" s="250">
        <f>(475.83)-83</f>
        <v>392.83</v>
      </c>
      <c r="AC48" s="250">
        <f>(475.83)-8</f>
        <v>467.83</v>
      </c>
      <c r="AD48" s="250">
        <f>(475.83)+51</f>
        <v>526.82999999999993</v>
      </c>
      <c r="AE48" s="250">
        <f>(475.83)-68.96</f>
        <v>406.87</v>
      </c>
      <c r="AF48" s="348">
        <f t="shared" si="7"/>
        <v>5710.0033333333331</v>
      </c>
      <c r="AG48" s="333">
        <f t="shared" si="23"/>
        <v>5710</v>
      </c>
      <c r="AH48" s="337">
        <v>5710</v>
      </c>
      <c r="AI48" s="349" t="s">
        <v>296</v>
      </c>
    </row>
    <row r="49" spans="17:35" x14ac:dyDescent="0.3">
      <c r="Q49" s="10"/>
      <c r="R49" s="7"/>
      <c r="S49" s="346" t="s">
        <v>155</v>
      </c>
      <c r="T49" s="250">
        <f>(AG49/12)+55</f>
        <v>425.41666666666669</v>
      </c>
      <c r="U49" s="250">
        <f>(370.42)-21</f>
        <v>349.42</v>
      </c>
      <c r="V49" s="250">
        <f>(370.42)-27</f>
        <v>343.42</v>
      </c>
      <c r="W49" s="250">
        <f>(370.42)-91</f>
        <v>279.42</v>
      </c>
      <c r="X49" s="250">
        <f>(370.42)+83</f>
        <v>453.42</v>
      </c>
      <c r="Y49" s="250">
        <f>(370.42)+40</f>
        <v>410.42</v>
      </c>
      <c r="Z49" s="250">
        <f>(370.42)+108</f>
        <v>478.42</v>
      </c>
      <c r="AA49" s="250">
        <f>(370.42)-42</f>
        <v>328.42</v>
      </c>
      <c r="AB49" s="250">
        <f>(370.42)+39+46</f>
        <v>455.42</v>
      </c>
      <c r="AC49" s="250">
        <f>(370.42)-65</f>
        <v>305.42</v>
      </c>
      <c r="AD49" s="250">
        <f>(370.42)-89</f>
        <v>281.42</v>
      </c>
      <c r="AE49" s="250">
        <f>(370.42)-36</f>
        <v>334.42</v>
      </c>
      <c r="AF49" s="348">
        <f t="shared" si="7"/>
        <v>4445.0366666666669</v>
      </c>
      <c r="AG49" s="333">
        <f t="shared" si="23"/>
        <v>4445</v>
      </c>
      <c r="AH49" s="337">
        <v>4445</v>
      </c>
      <c r="AI49" s="349"/>
    </row>
    <row r="50" spans="17:35" x14ac:dyDescent="0.3">
      <c r="Q50" s="239"/>
      <c r="R50" s="7"/>
      <c r="S50" s="346" t="s">
        <v>158</v>
      </c>
      <c r="T50" s="250">
        <f>(AG50/12)-368</f>
        <v>669.75</v>
      </c>
      <c r="U50" s="250">
        <f>(1037.75)-127</f>
        <v>910.75</v>
      </c>
      <c r="V50" s="250">
        <f>(1037.75)+18</f>
        <v>1055.75</v>
      </c>
      <c r="W50" s="250">
        <f>(1037.75)+45</f>
        <v>1082.75</v>
      </c>
      <c r="X50" s="250">
        <f>(1037.75)+67</f>
        <v>1104.75</v>
      </c>
      <c r="Y50" s="250">
        <f>(1037.75)+203</f>
        <v>1240.75</v>
      </c>
      <c r="Z50" s="250">
        <f>(1037.75)+89</f>
        <v>1126.75</v>
      </c>
      <c r="AA50" s="250">
        <f>(1037.75)+25</f>
        <v>1062.75</v>
      </c>
      <c r="AB50" s="250">
        <f>(1037.75)+12</f>
        <v>1049.75</v>
      </c>
      <c r="AC50" s="250">
        <f>(1037.75)+29</f>
        <v>1066.75</v>
      </c>
      <c r="AD50" s="250">
        <f>(1037.75)+8</f>
        <v>1045.75</v>
      </c>
      <c r="AE50" s="250">
        <f>(1037.75)-1</f>
        <v>1036.75</v>
      </c>
      <c r="AF50" s="348">
        <f t="shared" si="7"/>
        <v>12453</v>
      </c>
      <c r="AG50" s="348">
        <f t="shared" si="23"/>
        <v>12453</v>
      </c>
      <c r="AH50" s="337">
        <v>12453</v>
      </c>
      <c r="AI50" s="349" t="s">
        <v>295</v>
      </c>
    </row>
    <row r="51" spans="17:35" x14ac:dyDescent="0.3">
      <c r="Q51" s="239"/>
      <c r="R51" s="7"/>
      <c r="S51" s="346" t="s">
        <v>166</v>
      </c>
      <c r="T51" s="250">
        <f>(AG51/12)+98</f>
        <v>373</v>
      </c>
      <c r="U51" s="250">
        <f>(275)-22</f>
        <v>253</v>
      </c>
      <c r="V51" s="250">
        <f>(275)+45</f>
        <v>320</v>
      </c>
      <c r="W51" s="250">
        <f>(275)+12</f>
        <v>287</v>
      </c>
      <c r="X51" s="250">
        <f>(275)+59</f>
        <v>334</v>
      </c>
      <c r="Y51" s="250">
        <f>(275)-71</f>
        <v>204</v>
      </c>
      <c r="Z51" s="250">
        <f>(275)-79</f>
        <v>196</v>
      </c>
      <c r="AA51" s="250">
        <f>(275)-38</f>
        <v>237</v>
      </c>
      <c r="AB51" s="250">
        <f>(275)-60</f>
        <v>215</v>
      </c>
      <c r="AC51" s="250">
        <f>(275)+32</f>
        <v>307</v>
      </c>
      <c r="AD51" s="250">
        <f>(275)+42</f>
        <v>317</v>
      </c>
      <c r="AE51" s="250">
        <f>(275)-18</f>
        <v>257</v>
      </c>
      <c r="AF51" s="348">
        <f t="shared" si="7"/>
        <v>3300</v>
      </c>
      <c r="AG51" s="333">
        <f t="shared" si="23"/>
        <v>3300</v>
      </c>
      <c r="AH51" s="337">
        <v>3300</v>
      </c>
      <c r="AI51" s="349"/>
    </row>
    <row r="52" spans="17:35" x14ac:dyDescent="0.3">
      <c r="Q52" s="239"/>
      <c r="R52" s="7"/>
      <c r="S52" s="346" t="s">
        <v>170</v>
      </c>
      <c r="T52" s="250">
        <v>2960</v>
      </c>
      <c r="U52" s="250">
        <v>1200</v>
      </c>
      <c r="V52" s="250">
        <v>960</v>
      </c>
      <c r="W52" s="250">
        <v>2400</v>
      </c>
      <c r="X52" s="250">
        <v>2080</v>
      </c>
      <c r="Y52" s="250">
        <v>1040</v>
      </c>
      <c r="Z52" s="250">
        <v>2880</v>
      </c>
      <c r="AA52" s="250">
        <v>1360</v>
      </c>
      <c r="AB52" s="250">
        <f>(517.17)+43</f>
        <v>560.16999999999996</v>
      </c>
      <c r="AC52" s="250">
        <v>720</v>
      </c>
      <c r="AD52" s="250">
        <v>360</v>
      </c>
      <c r="AE52" s="250">
        <v>330</v>
      </c>
      <c r="AF52" s="348">
        <f t="shared" si="7"/>
        <v>16850.169999999998</v>
      </c>
      <c r="AG52" s="333">
        <f>AF52</f>
        <v>16850.169999999998</v>
      </c>
      <c r="AH52" s="337">
        <v>6206</v>
      </c>
      <c r="AI52" s="349"/>
    </row>
    <row r="53" spans="17:35" x14ac:dyDescent="0.3">
      <c r="Q53" s="7"/>
      <c r="R53" s="7"/>
      <c r="S53" s="346" t="s">
        <v>5</v>
      </c>
      <c r="T53" s="250">
        <f t="shared" si="21"/>
        <v>484.56416666666672</v>
      </c>
      <c r="U53" s="250">
        <f t="shared" ref="U53:AE55" si="24">T53</f>
        <v>484.56416666666672</v>
      </c>
      <c r="V53" s="250">
        <f t="shared" si="24"/>
        <v>484.56416666666672</v>
      </c>
      <c r="W53" s="250">
        <f t="shared" si="24"/>
        <v>484.56416666666672</v>
      </c>
      <c r="X53" s="250">
        <f t="shared" si="24"/>
        <v>484.56416666666672</v>
      </c>
      <c r="Y53" s="250">
        <f t="shared" si="24"/>
        <v>484.56416666666672</v>
      </c>
      <c r="Z53" s="250">
        <f t="shared" si="24"/>
        <v>484.56416666666672</v>
      </c>
      <c r="AA53" s="250">
        <f t="shared" si="24"/>
        <v>484.56416666666672</v>
      </c>
      <c r="AB53" s="250">
        <f t="shared" si="24"/>
        <v>484.56416666666672</v>
      </c>
      <c r="AC53" s="250">
        <f t="shared" si="24"/>
        <v>484.56416666666672</v>
      </c>
      <c r="AD53" s="250">
        <f t="shared" si="24"/>
        <v>484.56416666666672</v>
      </c>
      <c r="AE53" s="250">
        <f t="shared" si="24"/>
        <v>484.56416666666672</v>
      </c>
      <c r="AF53" s="348">
        <f t="shared" si="7"/>
        <v>5814.7700000000013</v>
      </c>
      <c r="AG53" s="333">
        <f t="shared" si="23"/>
        <v>5814.77</v>
      </c>
      <c r="AH53" s="337">
        <v>5814.77</v>
      </c>
      <c r="AI53" s="349"/>
    </row>
    <row r="54" spans="17:35" x14ac:dyDescent="0.3">
      <c r="Q54" s="7"/>
      <c r="R54" s="7"/>
      <c r="S54" s="346" t="s">
        <v>6</v>
      </c>
      <c r="T54" s="250">
        <f t="shared" si="21"/>
        <v>233.33333333333334</v>
      </c>
      <c r="U54" s="250">
        <f t="shared" si="24"/>
        <v>233.33333333333334</v>
      </c>
      <c r="V54" s="250">
        <f t="shared" si="24"/>
        <v>233.33333333333334</v>
      </c>
      <c r="W54" s="250">
        <f t="shared" si="24"/>
        <v>233.33333333333334</v>
      </c>
      <c r="X54" s="250">
        <f t="shared" si="24"/>
        <v>233.33333333333334</v>
      </c>
      <c r="Y54" s="250">
        <f t="shared" si="24"/>
        <v>233.33333333333334</v>
      </c>
      <c r="Z54" s="250">
        <f t="shared" si="24"/>
        <v>233.33333333333334</v>
      </c>
      <c r="AA54" s="250">
        <f t="shared" si="24"/>
        <v>233.33333333333334</v>
      </c>
      <c r="AB54" s="250">
        <f t="shared" si="24"/>
        <v>233.33333333333334</v>
      </c>
      <c r="AC54" s="250">
        <f t="shared" si="24"/>
        <v>233.33333333333334</v>
      </c>
      <c r="AD54" s="250">
        <f t="shared" si="24"/>
        <v>233.33333333333334</v>
      </c>
      <c r="AE54" s="250">
        <f t="shared" si="24"/>
        <v>233.33333333333334</v>
      </c>
      <c r="AF54" s="348">
        <f t="shared" si="7"/>
        <v>2800.0000000000005</v>
      </c>
      <c r="AG54" s="333">
        <f t="shared" si="23"/>
        <v>2800</v>
      </c>
      <c r="AH54" s="337">
        <v>2800</v>
      </c>
      <c r="AI54" s="349"/>
    </row>
    <row r="55" spans="17:35" x14ac:dyDescent="0.3">
      <c r="Q55" s="7"/>
      <c r="R55" s="7"/>
      <c r="S55" s="346" t="s">
        <v>213</v>
      </c>
      <c r="T55" s="250">
        <f t="shared" si="21"/>
        <v>444.41666666666669</v>
      </c>
      <c r="U55" s="250">
        <f t="shared" si="24"/>
        <v>444.41666666666669</v>
      </c>
      <c r="V55" s="250">
        <f t="shared" si="24"/>
        <v>444.41666666666669</v>
      </c>
      <c r="W55" s="250">
        <f t="shared" si="24"/>
        <v>444.41666666666669</v>
      </c>
      <c r="X55" s="250">
        <f t="shared" si="24"/>
        <v>444.41666666666669</v>
      </c>
      <c r="Y55" s="250">
        <f t="shared" si="24"/>
        <v>444.41666666666669</v>
      </c>
      <c r="Z55" s="250">
        <f t="shared" si="24"/>
        <v>444.41666666666669</v>
      </c>
      <c r="AA55" s="250">
        <f t="shared" si="24"/>
        <v>444.41666666666669</v>
      </c>
      <c r="AB55" s="250">
        <f t="shared" si="24"/>
        <v>444.41666666666669</v>
      </c>
      <c r="AC55" s="250">
        <f t="shared" si="24"/>
        <v>444.41666666666669</v>
      </c>
      <c r="AD55" s="250">
        <f t="shared" si="24"/>
        <v>444.41666666666669</v>
      </c>
      <c r="AE55" s="250">
        <f t="shared" si="24"/>
        <v>444.41666666666669</v>
      </c>
      <c r="AF55" s="348">
        <f t="shared" si="7"/>
        <v>5333</v>
      </c>
      <c r="AG55" s="333">
        <f t="shared" si="23"/>
        <v>5333</v>
      </c>
      <c r="AH55" s="360">
        <v>5333</v>
      </c>
      <c r="AI55" s="349"/>
    </row>
    <row r="56" spans="17:35" x14ac:dyDescent="0.3">
      <c r="R56" s="7"/>
      <c r="S56" s="357" t="s">
        <v>351</v>
      </c>
      <c r="T56" s="7">
        <v>1544</v>
      </c>
      <c r="U56" s="7">
        <v>1544</v>
      </c>
      <c r="V56" s="7">
        <v>1544</v>
      </c>
      <c r="W56" s="7">
        <v>1544</v>
      </c>
      <c r="X56" s="7">
        <v>1544</v>
      </c>
      <c r="Y56" s="7">
        <v>1544</v>
      </c>
      <c r="Z56" s="7">
        <v>1544</v>
      </c>
      <c r="AA56" s="7">
        <v>1544</v>
      </c>
      <c r="AB56" s="7">
        <v>1544</v>
      </c>
      <c r="AC56" s="7">
        <v>1544</v>
      </c>
      <c r="AD56" s="7">
        <v>1544</v>
      </c>
      <c r="AE56" s="7">
        <v>1544</v>
      </c>
      <c r="AF56" s="348">
        <f>SUM(T56:AE56)</f>
        <v>18528</v>
      </c>
      <c r="AG56" s="361">
        <f>AF56</f>
        <v>18528</v>
      </c>
      <c r="AH56" s="7"/>
      <c r="AI56" s="7"/>
    </row>
    <row r="57" spans="17:35" x14ac:dyDescent="0.3">
      <c r="Q57" s="7"/>
      <c r="R57" s="7"/>
      <c r="S57" s="373" t="s">
        <v>352</v>
      </c>
      <c r="T57" s="250">
        <v>570</v>
      </c>
      <c r="U57" s="250">
        <v>570</v>
      </c>
      <c r="V57" s="250">
        <v>570</v>
      </c>
      <c r="W57" s="250">
        <v>570</v>
      </c>
      <c r="X57" s="250">
        <v>570</v>
      </c>
      <c r="Y57" s="250">
        <v>570</v>
      </c>
      <c r="Z57" s="250">
        <v>570</v>
      </c>
      <c r="AA57" s="250">
        <v>570</v>
      </c>
      <c r="AB57" s="250">
        <v>570</v>
      </c>
      <c r="AC57" s="250">
        <v>570</v>
      </c>
      <c r="AD57" s="250">
        <v>570</v>
      </c>
      <c r="AE57" s="250">
        <v>570</v>
      </c>
      <c r="AF57" s="348">
        <f>SUM(T57:AE57)</f>
        <v>6840</v>
      </c>
      <c r="AG57" s="362">
        <f>AF57</f>
        <v>6840</v>
      </c>
      <c r="AH57" s="363"/>
      <c r="AI57" s="349"/>
    </row>
    <row r="58" spans="17:35" x14ac:dyDescent="0.3">
      <c r="Q58" s="7"/>
      <c r="R58" s="7"/>
      <c r="S58" s="358" t="s">
        <v>350</v>
      </c>
      <c r="T58" s="250">
        <v>3888</v>
      </c>
      <c r="U58" s="250">
        <v>3888</v>
      </c>
      <c r="V58" s="250">
        <v>3888</v>
      </c>
      <c r="W58" s="250">
        <v>3888</v>
      </c>
      <c r="X58" s="250">
        <v>3888</v>
      </c>
      <c r="Y58" s="250">
        <v>3888</v>
      </c>
      <c r="Z58" s="250">
        <v>3888</v>
      </c>
      <c r="AA58" s="250">
        <v>3888</v>
      </c>
      <c r="AB58" s="250">
        <v>3888</v>
      </c>
      <c r="AC58" s="250">
        <v>3888</v>
      </c>
      <c r="AD58" s="250">
        <v>3888</v>
      </c>
      <c r="AE58" s="250">
        <v>3888</v>
      </c>
      <c r="AF58" s="348">
        <f>SUM(T58:AE58)</f>
        <v>46656</v>
      </c>
      <c r="AG58" s="362">
        <f>AF58</f>
        <v>46656</v>
      </c>
      <c r="AH58" s="363"/>
      <c r="AI58" s="349"/>
    </row>
    <row r="59" spans="17:35" x14ac:dyDescent="0.3">
      <c r="R59" s="7"/>
      <c r="S59" s="353" t="s">
        <v>27</v>
      </c>
      <c r="T59" s="241">
        <f t="shared" ref="T59:AG59" si="25">SUM(T13:T58)</f>
        <v>133438.14980099359</v>
      </c>
      <c r="U59" s="241">
        <f t="shared" si="25"/>
        <v>101439.85136980127</v>
      </c>
      <c r="V59" s="241">
        <f t="shared" si="25"/>
        <v>129547.8513698013</v>
      </c>
      <c r="W59" s="241">
        <f t="shared" si="25"/>
        <v>154313.11902230312</v>
      </c>
      <c r="X59" s="241">
        <f t="shared" si="25"/>
        <v>133617.90160741666</v>
      </c>
      <c r="Y59" s="241">
        <f t="shared" si="25"/>
        <v>129887.73765791666</v>
      </c>
      <c r="Z59" s="241">
        <f t="shared" si="25"/>
        <v>172663.71598686842</v>
      </c>
      <c r="AA59" s="241">
        <f t="shared" si="25"/>
        <v>124122.86160741668</v>
      </c>
      <c r="AB59" s="241">
        <f t="shared" si="25"/>
        <v>123226.43160741669</v>
      </c>
      <c r="AC59" s="241">
        <f t="shared" si="25"/>
        <v>143983.30535651301</v>
      </c>
      <c r="AD59" s="241">
        <f t="shared" si="25"/>
        <v>122076.86160741668</v>
      </c>
      <c r="AE59" s="241">
        <f t="shared" si="25"/>
        <v>121390.38506291666</v>
      </c>
      <c r="AF59" s="241">
        <f t="shared" si="25"/>
        <v>1589708.1720567807</v>
      </c>
      <c r="AG59" s="290">
        <f t="shared" si="25"/>
        <v>1537675.3421749345</v>
      </c>
      <c r="AH59" s="7"/>
      <c r="AI59" s="7"/>
    </row>
    <row r="60" spans="17:35" x14ac:dyDescent="0.3">
      <c r="R60" s="7"/>
      <c r="S60" s="353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>
        <f>SUM(T59:AE59)</f>
        <v>1589708.1720567809</v>
      </c>
      <c r="AG60" s="290"/>
      <c r="AH60" s="7" t="s">
        <v>319</v>
      </c>
      <c r="AI60" s="7"/>
    </row>
    <row r="61" spans="17:35" x14ac:dyDescent="0.3">
      <c r="R61" s="7"/>
      <c r="S61" s="353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>
        <f>SUM(T13:AE58)</f>
        <v>1589708.1720567835</v>
      </c>
      <c r="AG61" s="290"/>
      <c r="AH61" s="7" t="s">
        <v>319</v>
      </c>
      <c r="AI61" s="7"/>
    </row>
    <row r="62" spans="17:35" x14ac:dyDescent="0.3">
      <c r="R62" s="7"/>
      <c r="S62" s="353" t="s">
        <v>254</v>
      </c>
      <c r="T62" s="364">
        <f t="shared" ref="T62:AE62" si="26">T11-T59</f>
        <v>12632.628997340013</v>
      </c>
      <c r="U62" s="364">
        <f t="shared" si="26"/>
        <v>16035.903762699032</v>
      </c>
      <c r="V62" s="364">
        <f t="shared" si="26"/>
        <v>-3320.608070217655</v>
      </c>
      <c r="W62" s="295">
        <f t="shared" si="26"/>
        <v>-23722.631639177795</v>
      </c>
      <c r="X62" s="364">
        <f t="shared" si="26"/>
        <v>-498.79218252049759</v>
      </c>
      <c r="Y62" s="364">
        <f t="shared" si="26"/>
        <v>13897.317054531435</v>
      </c>
      <c r="Z62" s="295">
        <f t="shared" si="26"/>
        <v>-33305.322897310893</v>
      </c>
      <c r="AA62" s="364">
        <f t="shared" si="26"/>
        <v>13022.200670695602</v>
      </c>
      <c r="AB62" s="364">
        <f t="shared" si="26"/>
        <v>12840.015264972957</v>
      </c>
      <c r="AC62" s="295">
        <f t="shared" si="26"/>
        <v>-9460.6661869851814</v>
      </c>
      <c r="AD62" s="364">
        <f t="shared" si="26"/>
        <v>12509.873710680724</v>
      </c>
      <c r="AE62" s="364">
        <f t="shared" si="26"/>
        <v>12884.898329465548</v>
      </c>
      <c r="AF62" s="364"/>
      <c r="AG62" s="365"/>
      <c r="AH62" s="7"/>
      <c r="AI62" s="7"/>
    </row>
    <row r="63" spans="17:35" x14ac:dyDescent="0.3">
      <c r="R63" s="7"/>
      <c r="S63" s="366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290"/>
      <c r="AH63" s="7"/>
      <c r="AI63" s="7"/>
    </row>
    <row r="64" spans="17:35" x14ac:dyDescent="0.3">
      <c r="R64" s="7"/>
      <c r="S64" s="353" t="s">
        <v>255</v>
      </c>
      <c r="T64" s="340">
        <f t="shared" ref="T64:AE64" si="27">T8+T62</f>
        <v>-44212.371002659987</v>
      </c>
      <c r="U64" s="340">
        <f t="shared" si="27"/>
        <v>-28176.467239960955</v>
      </c>
      <c r="V64" s="340">
        <f t="shared" si="27"/>
        <v>-31497.07531017861</v>
      </c>
      <c r="W64" s="340">
        <f t="shared" si="27"/>
        <v>-55219.706949356405</v>
      </c>
      <c r="X64" s="340">
        <f t="shared" si="27"/>
        <v>-55718.499131876903</v>
      </c>
      <c r="Y64" s="340">
        <f t="shared" si="27"/>
        <v>-41821.182077345467</v>
      </c>
      <c r="Z64" s="340">
        <f t="shared" si="27"/>
        <v>-75126.50497465636</v>
      </c>
      <c r="AA64" s="340">
        <f t="shared" si="27"/>
        <v>-62104.304303960758</v>
      </c>
      <c r="AB64" s="340">
        <f t="shared" si="27"/>
        <v>-49264.289038987801</v>
      </c>
      <c r="AC64" s="340">
        <f t="shared" si="27"/>
        <v>-58724.955225972983</v>
      </c>
      <c r="AD64" s="340">
        <f t="shared" si="27"/>
        <v>-46215.081515292259</v>
      </c>
      <c r="AE64" s="295">
        <f t="shared" si="27"/>
        <v>-33330.183185826711</v>
      </c>
      <c r="AF64" s="295"/>
      <c r="AG64" s="290"/>
      <c r="AH64" s="7"/>
      <c r="AI64" s="7"/>
    </row>
    <row r="65" spans="18:35" x14ac:dyDescent="0.3">
      <c r="R65" s="7"/>
      <c r="S65" s="367"/>
      <c r="T65" s="368"/>
      <c r="U65" s="368"/>
      <c r="V65" s="368"/>
      <c r="W65" s="368"/>
      <c r="X65" s="368"/>
      <c r="Y65" s="368"/>
      <c r="Z65" s="368"/>
      <c r="AA65" s="368"/>
      <c r="AB65" s="368"/>
      <c r="AC65" s="368"/>
      <c r="AD65" s="368"/>
      <c r="AE65" s="368"/>
      <c r="AF65" s="368"/>
      <c r="AG65" s="369"/>
      <c r="AH65" s="7"/>
      <c r="AI65" s="7"/>
    </row>
    <row r="66" spans="18:35" x14ac:dyDescent="0.3">
      <c r="R66" s="7"/>
      <c r="S66" s="7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370"/>
      <c r="AH66" s="7"/>
      <c r="AI66" s="7"/>
    </row>
    <row r="67" spans="18:35" x14ac:dyDescent="0.3">
      <c r="R67" s="7"/>
      <c r="S67" s="371" t="s">
        <v>256</v>
      </c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370"/>
      <c r="AH67" s="7"/>
      <c r="AI67" s="7"/>
    </row>
    <row r="68" spans="18:35" x14ac:dyDescent="0.3">
      <c r="R68" s="7"/>
      <c r="S68" s="7" t="s">
        <v>257</v>
      </c>
      <c r="T68" s="199">
        <v>3</v>
      </c>
      <c r="U68" s="199">
        <v>2</v>
      </c>
      <c r="V68" s="199">
        <v>2</v>
      </c>
      <c r="W68" s="199">
        <v>2</v>
      </c>
      <c r="X68" s="199">
        <v>2</v>
      </c>
      <c r="Y68" s="199">
        <v>2</v>
      </c>
      <c r="Z68" s="199">
        <v>3</v>
      </c>
      <c r="AA68" s="199">
        <v>2</v>
      </c>
      <c r="AB68" s="199">
        <v>2</v>
      </c>
      <c r="AC68" s="199">
        <v>2</v>
      </c>
      <c r="AD68" s="199">
        <v>2</v>
      </c>
      <c r="AE68" s="199">
        <v>2</v>
      </c>
      <c r="AF68" s="199"/>
      <c r="AG68" s="370">
        <f>SUM(T68:AE68)</f>
        <v>26</v>
      </c>
      <c r="AH68" s="7"/>
      <c r="AI68" s="7"/>
    </row>
    <row r="69" spans="18:35" x14ac:dyDescent="0.3"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8:35" x14ac:dyDescent="0.3"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8:35" x14ac:dyDescent="0.3"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8:35" x14ac:dyDescent="0.3"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8:35" x14ac:dyDescent="0.3"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8:35" x14ac:dyDescent="0.3"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8:35" x14ac:dyDescent="0.3"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8:35" x14ac:dyDescent="0.3"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8:35" x14ac:dyDescent="0.3"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8:35" x14ac:dyDescent="0.3"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8:35" x14ac:dyDescent="0.3"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8:35" x14ac:dyDescent="0.3"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</sheetData>
  <mergeCells count="3">
    <mergeCell ref="S1:AG1"/>
    <mergeCell ref="S2:AG2"/>
    <mergeCell ref="S3:AG3"/>
  </mergeCells>
  <hyperlinks>
    <hyperlink ref="AI16" r:id="rId1"/>
    <hyperlink ref="AM23" r:id="rId2"/>
    <hyperlink ref="AS23" r:id="rId3"/>
    <hyperlink ref="AI26" r:id="rId4"/>
    <hyperlink ref="AI29" r:id="rId5"/>
    <hyperlink ref="AI32" r:id="rId6"/>
    <hyperlink ref="AI33" r:id="rId7"/>
    <hyperlink ref="AI42" r:id="rId8"/>
    <hyperlink ref="AI44" r:id="rId9"/>
    <hyperlink ref="AI46" r:id="rId10"/>
    <hyperlink ref="AI47" r:id="rId11"/>
  </hyperlinks>
  <pageMargins left="0.7" right="0.7" top="0.75" bottom="0.75" header="0.3" footer="0.3"/>
  <pageSetup paperSize="9" orientation="portrait" r:id="rId12"/>
  <legacyDrawing r:id="rId1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AS80"/>
  <sheetViews>
    <sheetView tabSelected="1" topLeftCell="T39" zoomScale="80" zoomScaleNormal="80" workbookViewId="0">
      <selection activeCell="AH36" sqref="AH36"/>
    </sheetView>
  </sheetViews>
  <sheetFormatPr defaultRowHeight="14.4" x14ac:dyDescent="0.3"/>
  <cols>
    <col min="1" max="1" width="14.5546875" customWidth="1"/>
    <col min="2" max="2" width="9.109375" customWidth="1"/>
    <col min="14" max="14" width="14.109375" customWidth="1"/>
    <col min="15" max="15" width="12.109375" customWidth="1"/>
    <col min="16" max="16" width="13.5546875" customWidth="1"/>
    <col min="17" max="17" width="11.88671875" customWidth="1"/>
    <col min="19" max="19" width="54" customWidth="1"/>
    <col min="20" max="20" width="10" customWidth="1"/>
    <col min="21" max="21" width="11.44140625" customWidth="1"/>
    <col min="22" max="22" width="11" customWidth="1"/>
    <col min="23" max="23" width="11.44140625" customWidth="1"/>
    <col min="24" max="24" width="9.6640625" customWidth="1"/>
    <col min="25" max="25" width="10.5546875" customWidth="1"/>
    <col min="26" max="26" width="12.88671875" customWidth="1"/>
    <col min="27" max="27" width="10.109375" customWidth="1"/>
    <col min="28" max="28" width="9.6640625" customWidth="1"/>
    <col min="29" max="29" width="12.88671875" customWidth="1"/>
    <col min="30" max="30" width="11.44140625" customWidth="1"/>
    <col min="31" max="31" width="11" customWidth="1"/>
    <col min="32" max="32" width="18.5546875" customWidth="1"/>
    <col min="33" max="33" width="25" customWidth="1"/>
    <col min="34" max="34" width="17" customWidth="1"/>
    <col min="35" max="35" width="17.6640625" customWidth="1"/>
  </cols>
  <sheetData>
    <row r="1" spans="1:35" x14ac:dyDescent="0.3">
      <c r="A1" s="259" t="s">
        <v>214</v>
      </c>
      <c r="B1" s="260" t="s">
        <v>215</v>
      </c>
      <c r="C1" s="260" t="s">
        <v>216</v>
      </c>
      <c r="D1" s="260" t="s">
        <v>217</v>
      </c>
      <c r="E1" s="260" t="s">
        <v>218</v>
      </c>
      <c r="F1" s="260" t="s">
        <v>219</v>
      </c>
      <c r="G1" s="260" t="s">
        <v>220</v>
      </c>
      <c r="H1" s="261" t="s">
        <v>221</v>
      </c>
      <c r="I1" s="261" t="s">
        <v>222</v>
      </c>
      <c r="J1" s="261" t="s">
        <v>223</v>
      </c>
      <c r="K1" s="261" t="s">
        <v>224</v>
      </c>
      <c r="L1" s="261" t="s">
        <v>225</v>
      </c>
      <c r="M1" s="261" t="s">
        <v>226</v>
      </c>
      <c r="N1" s="262" t="s">
        <v>227</v>
      </c>
      <c r="O1" s="263" t="s">
        <v>228</v>
      </c>
      <c r="S1" s="421" t="s">
        <v>258</v>
      </c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3"/>
    </row>
    <row r="2" spans="1:35" ht="26.4" x14ac:dyDescent="0.3">
      <c r="A2" s="260" t="s">
        <v>229</v>
      </c>
      <c r="B2" s="264">
        <v>202380.82613000018</v>
      </c>
      <c r="C2" s="264">
        <f>B6</f>
        <v>146070.7787983336</v>
      </c>
      <c r="D2" s="264">
        <f t="shared" ref="D2:M2" si="0">C6</f>
        <v>117475.7551325003</v>
      </c>
      <c r="E2" s="264">
        <f t="shared" si="0"/>
        <v>126227.24329958364</v>
      </c>
      <c r="F2" s="264">
        <f t="shared" si="0"/>
        <v>130590.48738312532</v>
      </c>
      <c r="G2" s="264">
        <f t="shared" si="0"/>
        <v>133119.10942489616</v>
      </c>
      <c r="H2" s="264">
        <f t="shared" si="0"/>
        <v>143785.05471244809</v>
      </c>
      <c r="I2" s="264">
        <f t="shared" si="0"/>
        <v>139358.39308955753</v>
      </c>
      <c r="J2" s="264">
        <f t="shared" si="0"/>
        <v>137145.06227811228</v>
      </c>
      <c r="K2" s="264">
        <f t="shared" si="0"/>
        <v>136066.44687238964</v>
      </c>
      <c r="L2" s="264">
        <f t="shared" si="0"/>
        <v>134522.63916952783</v>
      </c>
      <c r="M2" s="264">
        <f t="shared" si="0"/>
        <v>134586.7353180974</v>
      </c>
      <c r="N2" s="265"/>
      <c r="S2" s="424" t="s">
        <v>242</v>
      </c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6"/>
    </row>
    <row r="3" spans="1:35" ht="26.4" x14ac:dyDescent="0.3">
      <c r="A3" s="273" t="s">
        <v>230</v>
      </c>
      <c r="B3" s="274">
        <f>128759.731466667-39999+1000</f>
        <v>89760.731466666999</v>
      </c>
      <c r="C3" s="274">
        <f>128759.731466667-41578+1000+350+49+300</f>
        <v>88880.731466666999</v>
      </c>
      <c r="D3" s="274">
        <f>128759.731466667+2658+3561</f>
        <v>134978.731466667</v>
      </c>
      <c r="E3" s="274">
        <f>128759.731466667-58778+60000+4072+900</f>
        <v>134953.731466667</v>
      </c>
      <c r="F3" s="274">
        <f>128759.731466667+5689+500+500+199</f>
        <v>135647.731466667</v>
      </c>
      <c r="G3" s="274">
        <f>135450+19000+1</f>
        <v>154451</v>
      </c>
      <c r="H3" s="274">
        <f>128759.731466667+6072+100</f>
        <v>134931.731466667</v>
      </c>
      <c r="I3" s="274">
        <f>128759.731466667+6072+100</f>
        <v>134931.731466667</v>
      </c>
      <c r="J3" s="274">
        <f>128759.731466667-12563+10000+5590.1+3201</f>
        <v>134987.831466667</v>
      </c>
      <c r="K3" s="274">
        <f>128759.731466666-4766+5590.1+2795+600</f>
        <v>132978.83146666602</v>
      </c>
      <c r="L3" s="274">
        <f>128759.731466667+5590.1+300+1</f>
        <v>134650.831466667</v>
      </c>
      <c r="M3" s="274">
        <f>128759.731466667-15231+5590.1+6072+6072+3201-500</f>
        <v>133963.831466667</v>
      </c>
      <c r="N3" s="275">
        <f>SUM(B3:M3)</f>
        <v>1545117.4461333361</v>
      </c>
      <c r="O3" s="266">
        <v>1545116.7776000001</v>
      </c>
      <c r="P3" s="267" t="s">
        <v>231</v>
      </c>
      <c r="S3" s="427" t="s">
        <v>326</v>
      </c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9"/>
    </row>
    <row r="4" spans="1:35" x14ac:dyDescent="0.3">
      <c r="A4" s="260" t="s">
        <v>232</v>
      </c>
      <c r="B4" s="261">
        <f>SUM(B2:B3)</f>
        <v>292141.5575966672</v>
      </c>
      <c r="C4" s="261">
        <f t="shared" ref="C4:M4" si="1">SUM(C2:C3)</f>
        <v>234951.5102650006</v>
      </c>
      <c r="D4" s="261">
        <f t="shared" si="1"/>
        <v>252454.48659916729</v>
      </c>
      <c r="E4" s="261">
        <f>SUM(E2:E3)</f>
        <v>261180.97476625064</v>
      </c>
      <c r="F4" s="261">
        <f>SUM(F2:F3)</f>
        <v>266238.21884979232</v>
      </c>
      <c r="G4" s="261">
        <f>SUM(G2:G3)</f>
        <v>287570.10942489619</v>
      </c>
      <c r="H4" s="261">
        <f>SUM(H2:H3)</f>
        <v>278716.78617911506</v>
      </c>
      <c r="I4" s="261">
        <f t="shared" si="1"/>
        <v>274290.12455622456</v>
      </c>
      <c r="J4" s="261">
        <f t="shared" si="1"/>
        <v>272132.89374477929</v>
      </c>
      <c r="K4" s="261">
        <f t="shared" si="1"/>
        <v>269045.27833905566</v>
      </c>
      <c r="L4" s="261">
        <f t="shared" si="1"/>
        <v>269173.4706361948</v>
      </c>
      <c r="M4" s="261">
        <f t="shared" si="1"/>
        <v>268550.56678476441</v>
      </c>
      <c r="N4" s="268"/>
      <c r="P4" s="267"/>
      <c r="S4" s="27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279" t="s">
        <v>243</v>
      </c>
      <c r="AG4" s="280" t="s">
        <v>244</v>
      </c>
    </row>
    <row r="5" spans="1:35" x14ac:dyDescent="0.3">
      <c r="A5" s="260" t="s">
        <v>233</v>
      </c>
      <c r="B5" s="269">
        <f>0.5*B3 + 0.5*B2</f>
        <v>146070.7787983336</v>
      </c>
      <c r="C5" s="269">
        <f t="shared" ref="C5:M5" si="2">0.5*C3 + 0.5*C2</f>
        <v>117475.7551325003</v>
      </c>
      <c r="D5" s="269">
        <f t="shared" si="2"/>
        <v>126227.24329958364</v>
      </c>
      <c r="E5" s="269">
        <f t="shared" si="2"/>
        <v>130590.48738312532</v>
      </c>
      <c r="F5" s="269">
        <f t="shared" si="2"/>
        <v>133119.10942489616</v>
      </c>
      <c r="G5" s="269">
        <f t="shared" si="2"/>
        <v>143785.05471244809</v>
      </c>
      <c r="H5" s="269">
        <f t="shared" si="2"/>
        <v>139358.39308955753</v>
      </c>
      <c r="I5" s="269">
        <f t="shared" si="2"/>
        <v>137145.06227811228</v>
      </c>
      <c r="J5" s="269">
        <f t="shared" si="2"/>
        <v>136066.44687238964</v>
      </c>
      <c r="K5" s="269">
        <f t="shared" si="2"/>
        <v>134522.63916952783</v>
      </c>
      <c r="L5" s="269">
        <f t="shared" si="2"/>
        <v>134586.7353180974</v>
      </c>
      <c r="M5" s="269">
        <f t="shared" si="2"/>
        <v>134275.2833923822</v>
      </c>
      <c r="N5" s="270">
        <f>SUM(B5:M5)</f>
        <v>1613222.9888709541</v>
      </c>
      <c r="P5" s="267" t="s">
        <v>231</v>
      </c>
      <c r="S5" s="278"/>
      <c r="T5" s="281">
        <v>42186</v>
      </c>
      <c r="U5" s="281">
        <v>42217</v>
      </c>
      <c r="V5" s="281">
        <v>42248</v>
      </c>
      <c r="W5" s="281">
        <v>42278</v>
      </c>
      <c r="X5" s="281">
        <v>42309</v>
      </c>
      <c r="Y5" s="281">
        <v>42339</v>
      </c>
      <c r="Z5" s="281">
        <v>42370</v>
      </c>
      <c r="AA5" s="281">
        <v>42401</v>
      </c>
      <c r="AB5" s="281">
        <v>42430</v>
      </c>
      <c r="AC5" s="281">
        <v>42461</v>
      </c>
      <c r="AD5" s="281">
        <v>42491</v>
      </c>
      <c r="AE5" s="281">
        <v>42522</v>
      </c>
      <c r="AF5" s="281" t="s">
        <v>245</v>
      </c>
      <c r="AG5" s="282" t="s">
        <v>12</v>
      </c>
      <c r="AH5" s="384"/>
      <c r="AI5" s="9" t="s">
        <v>246</v>
      </c>
    </row>
    <row r="6" spans="1:35" ht="26.4" x14ac:dyDescent="0.3">
      <c r="A6" s="260" t="s">
        <v>234</v>
      </c>
      <c r="B6" s="261">
        <f>B4-B5</f>
        <v>146070.7787983336</v>
      </c>
      <c r="C6" s="261">
        <f t="shared" ref="C6:M6" si="3">C4-C5</f>
        <v>117475.7551325003</v>
      </c>
      <c r="D6" s="261">
        <f t="shared" si="3"/>
        <v>126227.24329958364</v>
      </c>
      <c r="E6" s="261">
        <f t="shared" si="3"/>
        <v>130590.48738312532</v>
      </c>
      <c r="F6" s="261">
        <f t="shared" si="3"/>
        <v>133119.10942489616</v>
      </c>
      <c r="G6" s="261">
        <f t="shared" si="3"/>
        <v>143785.05471244809</v>
      </c>
      <c r="H6" s="261">
        <f t="shared" si="3"/>
        <v>139358.39308955753</v>
      </c>
      <c r="I6" s="261">
        <f t="shared" si="3"/>
        <v>137145.06227811228</v>
      </c>
      <c r="J6" s="261">
        <f t="shared" si="3"/>
        <v>136066.44687238964</v>
      </c>
      <c r="K6" s="261">
        <f t="shared" si="3"/>
        <v>134522.63916952783</v>
      </c>
      <c r="L6" s="261">
        <f t="shared" si="3"/>
        <v>134586.7353180974</v>
      </c>
      <c r="M6" s="261">
        <f t="shared" si="3"/>
        <v>134275.2833923822</v>
      </c>
      <c r="N6" s="266"/>
      <c r="O6" s="276"/>
      <c r="P6" s="267"/>
      <c r="S6" s="278"/>
      <c r="T6" s="281" t="s">
        <v>247</v>
      </c>
      <c r="U6" s="281" t="s">
        <v>247</v>
      </c>
      <c r="V6" s="281" t="s">
        <v>247</v>
      </c>
      <c r="W6" s="281" t="s">
        <v>247</v>
      </c>
      <c r="X6" s="281" t="s">
        <v>247</v>
      </c>
      <c r="Y6" s="281" t="s">
        <v>247</v>
      </c>
      <c r="Z6" s="281" t="s">
        <v>247</v>
      </c>
      <c r="AA6" s="281" t="s">
        <v>247</v>
      </c>
      <c r="AB6" s="281" t="s">
        <v>247</v>
      </c>
      <c r="AC6" s="281" t="s">
        <v>247</v>
      </c>
      <c r="AD6" s="281" t="s">
        <v>247</v>
      </c>
      <c r="AE6" s="281" t="s">
        <v>247</v>
      </c>
      <c r="AF6" s="283" t="s">
        <v>247</v>
      </c>
      <c r="AG6" s="283" t="s">
        <v>247</v>
      </c>
      <c r="AH6" s="284"/>
    </row>
    <row r="7" spans="1:35" x14ac:dyDescent="0.3">
      <c r="A7" s="271" t="s">
        <v>235</v>
      </c>
      <c r="B7" s="272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66"/>
      <c r="S7" s="27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285"/>
      <c r="AH7" s="160"/>
    </row>
    <row r="8" spans="1:35" x14ac:dyDescent="0.3">
      <c r="A8" s="271" t="s">
        <v>236</v>
      </c>
      <c r="B8" s="272">
        <f t="shared" ref="B8:M8" si="4">B5+B7</f>
        <v>146070.7787983336</v>
      </c>
      <c r="C8" s="272">
        <f t="shared" si="4"/>
        <v>117475.7551325003</v>
      </c>
      <c r="D8" s="272">
        <f t="shared" si="4"/>
        <v>126227.24329958364</v>
      </c>
      <c r="E8" s="272">
        <f t="shared" si="4"/>
        <v>130590.48738312532</v>
      </c>
      <c r="F8" s="272">
        <f t="shared" si="4"/>
        <v>133119.10942489616</v>
      </c>
      <c r="G8" s="272">
        <f t="shared" si="4"/>
        <v>143785.05471244809</v>
      </c>
      <c r="H8" s="272">
        <f t="shared" si="4"/>
        <v>139358.39308955753</v>
      </c>
      <c r="I8" s="272">
        <f t="shared" si="4"/>
        <v>137145.06227811228</v>
      </c>
      <c r="J8" s="272">
        <f t="shared" si="4"/>
        <v>136066.44687238964</v>
      </c>
      <c r="K8" s="272">
        <f t="shared" si="4"/>
        <v>134522.63916952783</v>
      </c>
      <c r="L8" s="272">
        <f t="shared" si="4"/>
        <v>134586.7353180974</v>
      </c>
      <c r="M8" s="272">
        <f t="shared" si="4"/>
        <v>134275.2833923822</v>
      </c>
      <c r="N8" s="266">
        <f>SUM(B8:M8)</f>
        <v>1613222.9888709541</v>
      </c>
      <c r="P8" s="277"/>
      <c r="S8" s="278" t="s">
        <v>248</v>
      </c>
      <c r="T8" s="340">
        <f>SUM('[1]Stat Fin Position'!C7:C9)</f>
        <v>-56845</v>
      </c>
      <c r="U8" s="286">
        <f t="shared" ref="U8:AE8" si="5">T64</f>
        <v>-37728.624823781793</v>
      </c>
      <c r="V8" s="286">
        <f t="shared" si="5"/>
        <v>-17256.001606025093</v>
      </c>
      <c r="W8" s="286">
        <f t="shared" si="5"/>
        <v>-15982.89022118508</v>
      </c>
      <c r="X8" s="286">
        <f t="shared" si="5"/>
        <v>-35070.623067554057</v>
      </c>
      <c r="Y8" s="286">
        <f t="shared" si="5"/>
        <v>-30850.690699689963</v>
      </c>
      <c r="Z8" s="286">
        <f t="shared" si="5"/>
        <v>-19077.772444273927</v>
      </c>
      <c r="AA8" s="286">
        <f t="shared" si="5"/>
        <v>-45625.930135348841</v>
      </c>
      <c r="AB8" s="286">
        <f t="shared" si="5"/>
        <v>-32010.004914268648</v>
      </c>
      <c r="AC8" s="286">
        <f t="shared" si="5"/>
        <v>-14627.265098911084</v>
      </c>
      <c r="AD8" s="286">
        <f t="shared" si="5"/>
        <v>-19517.570371875321</v>
      </c>
      <c r="AE8" s="286">
        <f t="shared" si="5"/>
        <v>-2629.6421108100039</v>
      </c>
      <c r="AF8" s="286"/>
      <c r="AG8" s="285"/>
      <c r="AH8" s="160"/>
      <c r="AI8" t="s">
        <v>313</v>
      </c>
    </row>
    <row r="9" spans="1:35" x14ac:dyDescent="0.3">
      <c r="S9" s="278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285"/>
      <c r="AH9" s="160"/>
    </row>
    <row r="10" spans="1:35" x14ac:dyDescent="0.3">
      <c r="S10" s="287" t="s">
        <v>249</v>
      </c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285"/>
      <c r="AH10" s="160"/>
      <c r="AI10" s="300"/>
    </row>
    <row r="11" spans="1:35" x14ac:dyDescent="0.3">
      <c r="A11" t="s">
        <v>237</v>
      </c>
      <c r="B11" t="s">
        <v>238</v>
      </c>
      <c r="P11" s="277"/>
      <c r="S11" s="291" t="s">
        <v>250</v>
      </c>
      <c r="T11" s="288">
        <f>B8</f>
        <v>146070.7787983336</v>
      </c>
      <c r="U11" s="288">
        <f t="shared" ref="U11:AF11" si="6">C8</f>
        <v>117475.7551325003</v>
      </c>
      <c r="V11" s="288">
        <f t="shared" si="6"/>
        <v>126227.24329958364</v>
      </c>
      <c r="W11" s="288">
        <f t="shared" si="6"/>
        <v>130590.48738312532</v>
      </c>
      <c r="X11" s="288">
        <f t="shared" si="6"/>
        <v>133119.10942489616</v>
      </c>
      <c r="Y11" s="288">
        <f t="shared" si="6"/>
        <v>143785.05471244809</v>
      </c>
      <c r="Z11" s="288">
        <f t="shared" si="6"/>
        <v>139358.39308955753</v>
      </c>
      <c r="AA11" s="288">
        <f t="shared" si="6"/>
        <v>137145.06227811228</v>
      </c>
      <c r="AB11" s="288">
        <f t="shared" si="6"/>
        <v>136066.44687238964</v>
      </c>
      <c r="AC11" s="288">
        <f t="shared" si="6"/>
        <v>134522.63916952783</v>
      </c>
      <c r="AD11" s="288">
        <f t="shared" si="6"/>
        <v>134586.7353180974</v>
      </c>
      <c r="AE11" s="288">
        <f t="shared" si="6"/>
        <v>134275.2833923822</v>
      </c>
      <c r="AF11" s="288">
        <f t="shared" si="6"/>
        <v>1613222.9888709541</v>
      </c>
      <c r="AG11" s="290">
        <f>N5</f>
        <v>1613222.9888709541</v>
      </c>
      <c r="AH11" s="160"/>
      <c r="AI11" s="300" t="s">
        <v>251</v>
      </c>
    </row>
    <row r="12" spans="1:35" x14ac:dyDescent="0.3">
      <c r="B12" t="s">
        <v>239</v>
      </c>
      <c r="S12" s="287" t="s">
        <v>259</v>
      </c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162"/>
      <c r="AG12" s="292" t="s">
        <v>262</v>
      </c>
      <c r="AH12" s="334" t="s">
        <v>263</v>
      </c>
      <c r="AI12" s="300"/>
    </row>
    <row r="13" spans="1:35" x14ac:dyDescent="0.3">
      <c r="B13" t="s">
        <v>240</v>
      </c>
      <c r="S13" s="299" t="s">
        <v>260</v>
      </c>
      <c r="T13" s="329">
        <f>(AG13/12)-18000</f>
        <v>15812.716666666667</v>
      </c>
      <c r="U13" s="329">
        <f>(33812.72)-16500</f>
        <v>17312.72</v>
      </c>
      <c r="V13" s="329">
        <f>(33812.72)+6200</f>
        <v>40012.720000000001</v>
      </c>
      <c r="W13" s="329">
        <f>(33812.72)+6100</f>
        <v>39912.720000000001</v>
      </c>
      <c r="X13" s="329">
        <f>(33812.72)+7890</f>
        <v>41702.720000000001</v>
      </c>
      <c r="Y13" s="329">
        <f>(33812.72)+10950-145.0006</f>
        <v>44617.719400000002</v>
      </c>
      <c r="Z13" s="329">
        <f>(33812.72)+550</f>
        <v>34362.720000000001</v>
      </c>
      <c r="AA13" s="329">
        <f>(33812.72)+590</f>
        <v>34402.720000000001</v>
      </c>
      <c r="AB13" s="329">
        <f>(33812.72)+655</f>
        <v>34467.72</v>
      </c>
      <c r="AC13" s="329">
        <f>(33812.72)+550</f>
        <v>34362.720000000001</v>
      </c>
      <c r="AD13" s="329">
        <f>(33812.72)+620</f>
        <v>34432.720000000001</v>
      </c>
      <c r="AE13" s="329">
        <f>(33812.72)+540-0.04</f>
        <v>34352.68</v>
      </c>
      <c r="AF13" s="329">
        <f>SUM(T13:AE13)</f>
        <v>405752.59606666659</v>
      </c>
      <c r="AG13" s="329">
        <f>AH13*1.1</f>
        <v>405752.60000000003</v>
      </c>
      <c r="AH13" s="335">
        <v>368866</v>
      </c>
      <c r="AI13" s="300"/>
    </row>
    <row r="14" spans="1:35" x14ac:dyDescent="0.3">
      <c r="B14" t="s">
        <v>241</v>
      </c>
      <c r="S14" s="299" t="s">
        <v>261</v>
      </c>
      <c r="T14" s="329">
        <f>(AG14/12)-2700</f>
        <v>813.76666666666688</v>
      </c>
      <c r="U14" s="329">
        <f>(3513.767)-2600</f>
        <v>913.76699999999983</v>
      </c>
      <c r="V14" s="329">
        <f>(3513.767)+600</f>
        <v>4113.7669999999998</v>
      </c>
      <c r="W14" s="329">
        <f>(3513.767)+856</f>
        <v>4369.7669999999998</v>
      </c>
      <c r="X14" s="329">
        <f>(3513.767)+990</f>
        <v>4503.7669999999998</v>
      </c>
      <c r="Y14" s="329">
        <f>(3513.767)+1870-113</f>
        <v>5270.7669999999998</v>
      </c>
      <c r="Z14" s="329">
        <f>(3513.767)+200</f>
        <v>3713.7669999999998</v>
      </c>
      <c r="AA14" s="329">
        <f>(3513.767)+321</f>
        <v>3834.7669999999998</v>
      </c>
      <c r="AB14" s="329">
        <f>(3513.767)+145</f>
        <v>3658.7669999999998</v>
      </c>
      <c r="AC14" s="329">
        <f>(3513.767)+124</f>
        <v>3637.7669999999998</v>
      </c>
      <c r="AD14" s="329">
        <f>(3513.767)+208</f>
        <v>3721.7669999999998</v>
      </c>
      <c r="AE14" s="329">
        <f>(3513.767)+99</f>
        <v>3612.7669999999998</v>
      </c>
      <c r="AF14" s="329">
        <f t="shared" ref="AF14:AF55" si="7">SUM(T14:AE14)</f>
        <v>42165.203666666668</v>
      </c>
      <c r="AG14" s="329">
        <f t="shared" ref="AG14:AG33" si="8">AH14*1.1</f>
        <v>42165.200000000004</v>
      </c>
      <c r="AH14" s="335">
        <v>38332</v>
      </c>
      <c r="AI14" s="300" t="s">
        <v>252</v>
      </c>
    </row>
    <row r="15" spans="1:35" x14ac:dyDescent="0.3">
      <c r="R15" s="7"/>
      <c r="S15" s="346" t="s">
        <v>176</v>
      </c>
      <c r="T15" s="250">
        <f>AG15/12</f>
        <v>100.28333333333335</v>
      </c>
      <c r="U15" s="250">
        <v>100.28</v>
      </c>
      <c r="V15" s="250">
        <v>100.28</v>
      </c>
      <c r="W15" s="250">
        <v>100.28</v>
      </c>
      <c r="X15" s="250">
        <v>100.28</v>
      </c>
      <c r="Y15" s="250">
        <v>100.28</v>
      </c>
      <c r="Z15" s="250">
        <v>100.28</v>
      </c>
      <c r="AA15" s="250">
        <v>100.28</v>
      </c>
      <c r="AB15" s="250">
        <v>100.28</v>
      </c>
      <c r="AC15" s="250">
        <v>100.28</v>
      </c>
      <c r="AD15" s="250">
        <v>100.28</v>
      </c>
      <c r="AE15" s="250">
        <f>100.28+0.04</f>
        <v>100.32000000000001</v>
      </c>
      <c r="AF15" s="348">
        <f t="shared" si="7"/>
        <v>1203.4033333333332</v>
      </c>
      <c r="AG15" s="348">
        <f t="shared" si="8"/>
        <v>1203.4000000000001</v>
      </c>
      <c r="AH15" s="337">
        <v>1094</v>
      </c>
      <c r="AI15" s="349"/>
    </row>
    <row r="16" spans="1:35" x14ac:dyDescent="0.3">
      <c r="R16" s="7"/>
      <c r="S16" s="346" t="s">
        <v>153</v>
      </c>
      <c r="T16" s="250">
        <f>(AG16/12)-50</f>
        <v>175.5916666666667</v>
      </c>
      <c r="U16" s="250">
        <f>(225.59)-80</f>
        <v>145.59</v>
      </c>
      <c r="V16" s="250">
        <f>(225.59)-20</f>
        <v>205.59</v>
      </c>
      <c r="W16" s="250">
        <f>(225.59)+25</f>
        <v>250.59</v>
      </c>
      <c r="X16" s="250">
        <f>(225.59)+50-8.98</f>
        <v>266.61</v>
      </c>
      <c r="Y16" s="250">
        <f>(225.59)+60</f>
        <v>285.59000000000003</v>
      </c>
      <c r="Z16" s="250">
        <f>(225.59)+28</f>
        <v>253.59</v>
      </c>
      <c r="AA16" s="250">
        <f>(225.59)+26</f>
        <v>251.59</v>
      </c>
      <c r="AB16" s="250">
        <f>(225.59)-7</f>
        <v>218.59</v>
      </c>
      <c r="AC16" s="250">
        <f>(225.59)-18</f>
        <v>207.59</v>
      </c>
      <c r="AD16" s="250">
        <f>(225.59)+5</f>
        <v>230.59</v>
      </c>
      <c r="AE16" s="250">
        <f>(225.59)-10</f>
        <v>215.59</v>
      </c>
      <c r="AF16" s="348">
        <f t="shared" si="7"/>
        <v>2707.1016666666674</v>
      </c>
      <c r="AG16" s="348">
        <f t="shared" si="8"/>
        <v>2707.1000000000004</v>
      </c>
      <c r="AH16" s="337">
        <v>2461</v>
      </c>
      <c r="AI16" s="378" t="s">
        <v>304</v>
      </c>
    </row>
    <row r="17" spans="15:45" x14ac:dyDescent="0.3">
      <c r="R17" s="7"/>
      <c r="S17" s="346" t="s">
        <v>147</v>
      </c>
      <c r="T17" s="250">
        <f>(AG17/12)-8</f>
        <v>151.40833333333333</v>
      </c>
      <c r="U17" s="250">
        <f>(159.41)-15</f>
        <v>144.41</v>
      </c>
      <c r="V17" s="250">
        <f>(159.41)+12</f>
        <v>171.41</v>
      </c>
      <c r="W17" s="250">
        <f>(159.41)+31</f>
        <v>190.41</v>
      </c>
      <c r="X17" s="250">
        <f>(159.41)+15</f>
        <v>174.41</v>
      </c>
      <c r="Y17" s="250">
        <f>(159.41)+18</f>
        <v>177.41</v>
      </c>
      <c r="Z17" s="250">
        <f>(159.41)-9</f>
        <v>150.41</v>
      </c>
      <c r="AA17" s="250">
        <f>(159.41)-20</f>
        <v>139.41</v>
      </c>
      <c r="AB17" s="250">
        <f>(159.41)+15</f>
        <v>174.41</v>
      </c>
      <c r="AC17" s="250">
        <f>(159.41)+14</f>
        <v>173.41</v>
      </c>
      <c r="AD17" s="250">
        <f>(159.41)-23</f>
        <v>136.41</v>
      </c>
      <c r="AE17" s="250">
        <f>(159.41)-30-0.02</f>
        <v>129.38999999999999</v>
      </c>
      <c r="AF17" s="348">
        <f t="shared" si="7"/>
        <v>1912.8983333333335</v>
      </c>
      <c r="AG17" s="348">
        <f t="shared" si="8"/>
        <v>1912.9</v>
      </c>
      <c r="AH17" s="337">
        <v>1739</v>
      </c>
      <c r="AI17" s="349"/>
    </row>
    <row r="18" spans="15:45" x14ac:dyDescent="0.3">
      <c r="R18" s="7"/>
      <c r="S18" s="372" t="s">
        <v>210</v>
      </c>
      <c r="T18" s="250">
        <f>(AG18/12)-80</f>
        <v>195.00000000000006</v>
      </c>
      <c r="U18" s="250">
        <f>(275)-65</f>
        <v>210</v>
      </c>
      <c r="V18" s="250">
        <f>(275)+7</f>
        <v>282</v>
      </c>
      <c r="W18" s="250">
        <f>(275)+13</f>
        <v>288</v>
      </c>
      <c r="X18" s="250">
        <f>(275)+31-14</f>
        <v>292</v>
      </c>
      <c r="Y18" s="250">
        <f>(275)+50</f>
        <v>325</v>
      </c>
      <c r="Z18" s="250">
        <f>(275)+27</f>
        <v>302</v>
      </c>
      <c r="AA18" s="250">
        <f>(275)+14</f>
        <v>289</v>
      </c>
      <c r="AB18" s="250">
        <f>(275)+9</f>
        <v>284</v>
      </c>
      <c r="AC18" s="250">
        <f>(275)+5</f>
        <v>280</v>
      </c>
      <c r="AD18" s="250">
        <f>(275)+3</f>
        <v>278</v>
      </c>
      <c r="AE18" s="250">
        <v>275</v>
      </c>
      <c r="AF18" s="348">
        <f t="shared" si="7"/>
        <v>3300</v>
      </c>
      <c r="AG18" s="348">
        <f t="shared" si="8"/>
        <v>3300.0000000000005</v>
      </c>
      <c r="AH18" s="337">
        <v>3000</v>
      </c>
      <c r="AI18" s="349"/>
    </row>
    <row r="19" spans="15:45" x14ac:dyDescent="0.3">
      <c r="O19" s="10"/>
      <c r="Q19" s="10"/>
      <c r="R19" s="7"/>
      <c r="S19" s="346" t="s">
        <v>4</v>
      </c>
      <c r="T19" s="250">
        <f>(AG19/12)-350</f>
        <v>468.2166666666667</v>
      </c>
      <c r="U19" s="250">
        <f>(818.22)-180</f>
        <v>638.22</v>
      </c>
      <c r="V19" s="250">
        <f>(818.22)+58</f>
        <v>876.22</v>
      </c>
      <c r="W19" s="250">
        <f>(818.22)+89</f>
        <v>907.22</v>
      </c>
      <c r="X19" s="250">
        <f>(818.22)+131</f>
        <v>949.22</v>
      </c>
      <c r="Y19" s="250">
        <f>(818.22)+268</f>
        <v>1086.22</v>
      </c>
      <c r="Z19" s="250">
        <f>(818.22)+40</f>
        <v>858.22</v>
      </c>
      <c r="AA19" s="250">
        <f>(818.22)+160</f>
        <v>978.22</v>
      </c>
      <c r="AB19" s="250">
        <f>(818.22)+110</f>
        <v>928.22</v>
      </c>
      <c r="AC19" s="250">
        <f>(818.22)-136</f>
        <v>682.22</v>
      </c>
      <c r="AD19" s="250">
        <f>(818.22)-110</f>
        <v>708.22</v>
      </c>
      <c r="AE19" s="250">
        <f>(818.22)-80-0.04</f>
        <v>738.18000000000006</v>
      </c>
      <c r="AF19" s="348">
        <f t="shared" si="7"/>
        <v>9818.5966666666682</v>
      </c>
      <c r="AG19" s="348">
        <f t="shared" si="8"/>
        <v>9818.6</v>
      </c>
      <c r="AH19" s="337">
        <v>8926</v>
      </c>
      <c r="AI19" s="349"/>
    </row>
    <row r="20" spans="15:45" x14ac:dyDescent="0.3">
      <c r="Q20" s="10"/>
      <c r="R20" s="7"/>
      <c r="S20" s="346" t="s">
        <v>156</v>
      </c>
      <c r="T20" s="250">
        <f>(AG20/12)+97</f>
        <v>1797.325</v>
      </c>
      <c r="U20" s="250">
        <f>(1700.33)+145</f>
        <v>1845.33</v>
      </c>
      <c r="V20" s="250">
        <f>(1700.33)+90</f>
        <v>1790.33</v>
      </c>
      <c r="W20" s="250">
        <f>(1700.33)-29</f>
        <v>1671.33</v>
      </c>
      <c r="X20" s="250">
        <f>(1700.33)-150</f>
        <v>1550.33</v>
      </c>
      <c r="Y20" s="250">
        <f>(1700.33)-448</f>
        <v>1252.33</v>
      </c>
      <c r="Z20" s="250">
        <f>(1700.33)+75</f>
        <v>1775.33</v>
      </c>
      <c r="AA20" s="250">
        <f>(1700.33)+13</f>
        <v>1713.33</v>
      </c>
      <c r="AB20" s="250">
        <f>(1700.33)+134</f>
        <v>1834.33</v>
      </c>
      <c r="AC20" s="250">
        <f>(1700.33)+189</f>
        <v>1889.33</v>
      </c>
      <c r="AD20" s="250">
        <f>(1700.33)+112</f>
        <v>1812.33</v>
      </c>
      <c r="AE20" s="250">
        <f>(1700.33)-228-0.06</f>
        <v>1472.27</v>
      </c>
      <c r="AF20" s="348">
        <f t="shared" si="7"/>
        <v>20403.895</v>
      </c>
      <c r="AG20" s="348">
        <f t="shared" si="8"/>
        <v>20403.900000000001</v>
      </c>
      <c r="AH20" s="337">
        <v>18549</v>
      </c>
      <c r="AI20" s="349"/>
    </row>
    <row r="21" spans="15:45" x14ac:dyDescent="0.3">
      <c r="O21" s="10"/>
      <c r="P21" s="10"/>
      <c r="R21" s="7"/>
      <c r="S21" s="346" t="s">
        <v>3</v>
      </c>
      <c r="T21" s="250">
        <f t="shared" ref="T21" si="9">AG21/12</f>
        <v>213.4</v>
      </c>
      <c r="U21" s="250">
        <f t="shared" ref="U21:AE21" si="10">T21</f>
        <v>213.4</v>
      </c>
      <c r="V21" s="250">
        <f t="shared" si="10"/>
        <v>213.4</v>
      </c>
      <c r="W21" s="250">
        <f t="shared" si="10"/>
        <v>213.4</v>
      </c>
      <c r="X21" s="250">
        <f t="shared" si="10"/>
        <v>213.4</v>
      </c>
      <c r="Y21" s="250">
        <f t="shared" si="10"/>
        <v>213.4</v>
      </c>
      <c r="Z21" s="250">
        <f t="shared" si="10"/>
        <v>213.4</v>
      </c>
      <c r="AA21" s="250">
        <f t="shared" si="10"/>
        <v>213.4</v>
      </c>
      <c r="AB21" s="250">
        <f t="shared" si="10"/>
        <v>213.4</v>
      </c>
      <c r="AC21" s="250">
        <f t="shared" si="10"/>
        <v>213.4</v>
      </c>
      <c r="AD21" s="250">
        <f t="shared" si="10"/>
        <v>213.4</v>
      </c>
      <c r="AE21" s="250">
        <f t="shared" si="10"/>
        <v>213.4</v>
      </c>
      <c r="AF21" s="348">
        <f t="shared" si="7"/>
        <v>2560.8000000000006</v>
      </c>
      <c r="AG21" s="348">
        <f t="shared" si="8"/>
        <v>2560.8000000000002</v>
      </c>
      <c r="AH21" s="337">
        <v>2328</v>
      </c>
      <c r="AI21" s="349"/>
    </row>
    <row r="22" spans="15:45" x14ac:dyDescent="0.3">
      <c r="Q22" s="10"/>
      <c r="R22" s="7"/>
      <c r="S22" s="346" t="s">
        <v>168</v>
      </c>
      <c r="T22" s="250">
        <f>(AG22/12)+18</f>
        <v>917.61666666666679</v>
      </c>
      <c r="U22" s="250">
        <f>(899.62)+13</f>
        <v>912.62</v>
      </c>
      <c r="V22" s="250">
        <f>(899.62)+45</f>
        <v>944.62</v>
      </c>
      <c r="W22" s="250">
        <f>(899.62)-23</f>
        <v>876.62</v>
      </c>
      <c r="X22" s="250">
        <f>(899.62)+9</f>
        <v>908.62</v>
      </c>
      <c r="Y22" s="250">
        <f>(899.62)-4</f>
        <v>895.62</v>
      </c>
      <c r="Z22" s="250">
        <f>(899.62)+24</f>
        <v>923.62</v>
      </c>
      <c r="AA22" s="250">
        <f>(899.62)-44</f>
        <v>855.62</v>
      </c>
      <c r="AB22" s="250">
        <f>(899.62)+11</f>
        <v>910.62</v>
      </c>
      <c r="AC22" s="250">
        <f>(899.62)+8</f>
        <v>907.62</v>
      </c>
      <c r="AD22" s="250">
        <f>(899.62)-12</f>
        <v>887.62</v>
      </c>
      <c r="AE22" s="250">
        <f>(899.62)-45-0.04</f>
        <v>854.58</v>
      </c>
      <c r="AF22" s="348">
        <f t="shared" si="7"/>
        <v>10795.396666666667</v>
      </c>
      <c r="AG22" s="348">
        <f t="shared" si="8"/>
        <v>10795.400000000001</v>
      </c>
      <c r="AH22" s="337">
        <v>9814</v>
      </c>
      <c r="AI22" s="349"/>
    </row>
    <row r="23" spans="15:45" x14ac:dyDescent="0.3">
      <c r="P23" s="10"/>
      <c r="Q23" s="10"/>
      <c r="R23" s="7"/>
      <c r="S23" s="346" t="s">
        <v>169</v>
      </c>
      <c r="T23" s="250">
        <f>(AG23/12)-35</f>
        <v>59.783333333333346</v>
      </c>
      <c r="U23" s="250">
        <f>(94.78)-14</f>
        <v>80.78</v>
      </c>
      <c r="V23" s="250">
        <f>(94.78)+5</f>
        <v>99.78</v>
      </c>
      <c r="W23" s="250">
        <f>(94.78)+11.04</f>
        <v>105.82</v>
      </c>
      <c r="X23" s="250">
        <f>(94.78)+15</f>
        <v>109.78</v>
      </c>
      <c r="Y23" s="250">
        <f>(94.78)+25</f>
        <v>119.78</v>
      </c>
      <c r="Z23" s="250">
        <f>(94.78)+18</f>
        <v>112.78</v>
      </c>
      <c r="AA23" s="250">
        <f>(94.78)+11</f>
        <v>105.78</v>
      </c>
      <c r="AB23" s="250">
        <f>(94.78)+5</f>
        <v>99.78</v>
      </c>
      <c r="AC23" s="250">
        <f>(94.78)-8</f>
        <v>86.78</v>
      </c>
      <c r="AD23" s="250">
        <f>(94.78)-11</f>
        <v>83.78</v>
      </c>
      <c r="AE23" s="250">
        <f>(94.78)-22</f>
        <v>72.78</v>
      </c>
      <c r="AF23" s="348">
        <f t="shared" si="7"/>
        <v>1137.4033333333332</v>
      </c>
      <c r="AG23" s="348">
        <f t="shared" si="8"/>
        <v>1137.4000000000001</v>
      </c>
      <c r="AH23" s="337">
        <v>1034</v>
      </c>
      <c r="AI23" s="349" t="s">
        <v>305</v>
      </c>
      <c r="AM23" s="379" t="s">
        <v>306</v>
      </c>
      <c r="AS23" s="379" t="s">
        <v>307</v>
      </c>
    </row>
    <row r="24" spans="15:45" x14ac:dyDescent="0.3">
      <c r="Q24" s="10"/>
      <c r="R24" s="7"/>
      <c r="S24" s="346" t="s">
        <v>24</v>
      </c>
      <c r="T24" s="250">
        <f>(AG24/12)-75</f>
        <v>595.90833333333342</v>
      </c>
      <c r="U24" s="250">
        <f>(670.91)+110</f>
        <v>780.91</v>
      </c>
      <c r="V24" s="250">
        <f>(670.91)-12</f>
        <v>658.91</v>
      </c>
      <c r="W24" s="250">
        <f>(670.91)+45</f>
        <v>715.91</v>
      </c>
      <c r="X24" s="250">
        <f>(670.91)+67</f>
        <v>737.91</v>
      </c>
      <c r="Y24" s="250">
        <f>(670.91)-76</f>
        <v>594.91</v>
      </c>
      <c r="Z24" s="250">
        <f>(670.91)+132</f>
        <v>802.91</v>
      </c>
      <c r="AA24" s="250">
        <f>(670.91)-234</f>
        <v>436.90999999999997</v>
      </c>
      <c r="AB24" s="250">
        <f>(670.91)+321</f>
        <v>991.91</v>
      </c>
      <c r="AC24" s="250">
        <f>(670.91)-419</f>
        <v>251.90999999999997</v>
      </c>
      <c r="AD24" s="250">
        <f>(670.91)+54</f>
        <v>724.91</v>
      </c>
      <c r="AE24" s="250">
        <f>(670.91)+87-0.02</f>
        <v>757.89</v>
      </c>
      <c r="AF24" s="348">
        <f t="shared" si="7"/>
        <v>8050.8983333333326</v>
      </c>
      <c r="AG24" s="348">
        <f t="shared" si="8"/>
        <v>8050.9000000000005</v>
      </c>
      <c r="AH24" s="337">
        <v>7319</v>
      </c>
      <c r="AI24" s="349"/>
    </row>
    <row r="25" spans="15:45" x14ac:dyDescent="0.3">
      <c r="Q25" s="10"/>
      <c r="R25" s="7"/>
      <c r="S25" s="346" t="s">
        <v>25</v>
      </c>
      <c r="T25" s="250">
        <f>(AG25/12)+58</f>
        <v>259.39166666666665</v>
      </c>
      <c r="U25" s="250">
        <f>(201.39)+23</f>
        <v>224.39</v>
      </c>
      <c r="V25" s="250">
        <f>(201.39)-59</f>
        <v>142.38999999999999</v>
      </c>
      <c r="W25" s="250">
        <f>(201.39)-101</f>
        <v>100.38999999999999</v>
      </c>
      <c r="X25" s="250">
        <f>(201.39)+45</f>
        <v>246.39</v>
      </c>
      <c r="Y25" s="250">
        <f>(201.39)+67</f>
        <v>268.39</v>
      </c>
      <c r="Z25" s="250">
        <f>(201.39)+23</f>
        <v>224.39</v>
      </c>
      <c r="AA25" s="250">
        <f>(201.39)-16</f>
        <v>185.39</v>
      </c>
      <c r="AB25" s="250">
        <f>(201.39)-8</f>
        <v>193.39</v>
      </c>
      <c r="AC25" s="250">
        <f>(201.39)+53</f>
        <v>254.39</v>
      </c>
      <c r="AD25" s="250">
        <f>(201.39)-79</f>
        <v>122.38999999999999</v>
      </c>
      <c r="AE25" s="250">
        <f>(201.39)-6+0.02</f>
        <v>195.41</v>
      </c>
      <c r="AF25" s="348">
        <f t="shared" si="7"/>
        <v>2416.7016666666659</v>
      </c>
      <c r="AG25" s="348">
        <f t="shared" si="8"/>
        <v>2416.7000000000003</v>
      </c>
      <c r="AH25" s="337">
        <v>2197</v>
      </c>
      <c r="AI25" s="349"/>
    </row>
    <row r="26" spans="15:45" x14ac:dyDescent="0.3">
      <c r="Q26" s="10"/>
      <c r="R26" s="7"/>
      <c r="S26" s="346" t="s">
        <v>159</v>
      </c>
      <c r="T26" s="250">
        <f>(AG26/12)-534</f>
        <v>709.45833333333348</v>
      </c>
      <c r="U26" s="250">
        <f>(1243.46)-424</f>
        <v>819.46</v>
      </c>
      <c r="V26" s="250">
        <f>(1243.46)+87</f>
        <v>1330.46</v>
      </c>
      <c r="W26" s="250">
        <f>(1243.46)+123</f>
        <v>1366.46</v>
      </c>
      <c r="X26" s="250">
        <f>(1243.46)+242</f>
        <v>1485.46</v>
      </c>
      <c r="Y26" s="250">
        <f>(1243.46)+445</f>
        <v>1688.46</v>
      </c>
      <c r="Z26" s="250">
        <f>(1243.46)+234</f>
        <v>1477.46</v>
      </c>
      <c r="AA26" s="250">
        <f>(1243.46)+123</f>
        <v>1366.46</v>
      </c>
      <c r="AB26" s="250">
        <f>(1243.46)-76</f>
        <v>1167.46</v>
      </c>
      <c r="AC26" s="250">
        <f>(1243.46)-234</f>
        <v>1009.46</v>
      </c>
      <c r="AD26" s="250">
        <f>(1243.46)-73</f>
        <v>1170.46</v>
      </c>
      <c r="AE26" s="250">
        <f>(1243.46)+87</f>
        <v>1330.46</v>
      </c>
      <c r="AF26" s="348">
        <f t="shared" si="7"/>
        <v>14921.51833333333</v>
      </c>
      <c r="AG26" s="348">
        <f t="shared" si="8"/>
        <v>14921.500000000002</v>
      </c>
      <c r="AH26" s="337">
        <v>13565</v>
      </c>
      <c r="AI26" s="378" t="s">
        <v>308</v>
      </c>
    </row>
    <row r="27" spans="15:45" x14ac:dyDescent="0.3">
      <c r="Q27" s="10"/>
      <c r="R27" s="7"/>
      <c r="S27" s="346" t="s">
        <v>160</v>
      </c>
      <c r="T27" s="250">
        <f>(AG27/12)-1234</f>
        <v>2784.9416666666671</v>
      </c>
      <c r="U27" s="250">
        <f>(4018.94)-1002</f>
        <v>3016.94</v>
      </c>
      <c r="V27" s="250">
        <f>(4018.94)-144</f>
        <v>3874.94</v>
      </c>
      <c r="W27" s="250">
        <f>(4018.94)+234</f>
        <v>4252.9400000000005</v>
      </c>
      <c r="X27" s="250">
        <f>(4018.94)+546-126.98</f>
        <v>4437.9600000000009</v>
      </c>
      <c r="Y27" s="250">
        <f>(4018.94)+1044</f>
        <v>5062.9400000000005</v>
      </c>
      <c r="Z27" s="250">
        <f>(4018.94)+576</f>
        <v>4594.9400000000005</v>
      </c>
      <c r="AA27" s="250">
        <f>(4018.94)+375</f>
        <v>4393.9400000000005</v>
      </c>
      <c r="AB27" s="250">
        <f>(4018.94)+32</f>
        <v>4050.94</v>
      </c>
      <c r="AC27" s="250">
        <f>(4018.94)-45</f>
        <v>3973.94</v>
      </c>
      <c r="AD27" s="250">
        <f>(4018.94)-125</f>
        <v>3893.94</v>
      </c>
      <c r="AE27" s="250">
        <f>(4018.94)-130</f>
        <v>3888.94</v>
      </c>
      <c r="AF27" s="348">
        <f t="shared" si="7"/>
        <v>48227.301666666681</v>
      </c>
      <c r="AG27" s="348">
        <f t="shared" si="8"/>
        <v>48227.3</v>
      </c>
      <c r="AH27" s="337">
        <v>43843</v>
      </c>
      <c r="AI27" s="349"/>
    </row>
    <row r="28" spans="15:45" x14ac:dyDescent="0.3">
      <c r="Q28" s="10"/>
      <c r="R28" s="7"/>
      <c r="S28" s="346" t="s">
        <v>167</v>
      </c>
      <c r="T28" s="250">
        <f>(AG28/12)-96</f>
        <v>294.68333333333339</v>
      </c>
      <c r="U28" s="250">
        <f>(390.68)+76</f>
        <v>466.68</v>
      </c>
      <c r="V28" s="250">
        <f>(390.68)+45</f>
        <v>435.68</v>
      </c>
      <c r="W28" s="250">
        <f>(390.68)+34</f>
        <v>424.68</v>
      </c>
      <c r="X28" s="250">
        <f>(390.68)-23</f>
        <v>367.68</v>
      </c>
      <c r="Y28" s="250">
        <f>(390.68)+123</f>
        <v>513.68000000000006</v>
      </c>
      <c r="Z28" s="250">
        <f>(390.68)-27</f>
        <v>363.68</v>
      </c>
      <c r="AA28" s="250">
        <f>(390.68)+13</f>
        <v>403.68</v>
      </c>
      <c r="AB28" s="250">
        <f>(390.68)-49</f>
        <v>341.68</v>
      </c>
      <c r="AC28" s="250">
        <f>(390.68)+20</f>
        <v>410.68</v>
      </c>
      <c r="AD28" s="250">
        <f>(390.68)+34</f>
        <v>424.68</v>
      </c>
      <c r="AE28" s="250">
        <f>(390.68)-150+0.04</f>
        <v>240.72</v>
      </c>
      <c r="AF28" s="348">
        <f t="shared" si="7"/>
        <v>4688.2033333333338</v>
      </c>
      <c r="AG28" s="348">
        <f t="shared" si="8"/>
        <v>4688.2000000000007</v>
      </c>
      <c r="AH28" s="337">
        <v>4262</v>
      </c>
      <c r="AI28" s="349"/>
    </row>
    <row r="29" spans="15:45" x14ac:dyDescent="0.3">
      <c r="Q29" s="10"/>
      <c r="R29" s="7"/>
      <c r="S29" s="350" t="s">
        <v>183</v>
      </c>
      <c r="T29" s="250">
        <f t="shared" ref="T29" si="11">AG29/12</f>
        <v>6513.833333333333</v>
      </c>
      <c r="U29" s="250">
        <f t="shared" ref="U29:AE29" si="12">T29</f>
        <v>6513.833333333333</v>
      </c>
      <c r="V29" s="250">
        <f t="shared" si="12"/>
        <v>6513.833333333333</v>
      </c>
      <c r="W29" s="250">
        <f t="shared" si="12"/>
        <v>6513.833333333333</v>
      </c>
      <c r="X29" s="250">
        <f t="shared" si="12"/>
        <v>6513.833333333333</v>
      </c>
      <c r="Y29" s="250">
        <f t="shared" si="12"/>
        <v>6513.833333333333</v>
      </c>
      <c r="Z29" s="250">
        <f t="shared" si="12"/>
        <v>6513.833333333333</v>
      </c>
      <c r="AA29" s="250">
        <f t="shared" si="12"/>
        <v>6513.833333333333</v>
      </c>
      <c r="AB29" s="250">
        <f t="shared" si="12"/>
        <v>6513.833333333333</v>
      </c>
      <c r="AC29" s="250">
        <f t="shared" si="12"/>
        <v>6513.833333333333</v>
      </c>
      <c r="AD29" s="250">
        <f t="shared" si="12"/>
        <v>6513.833333333333</v>
      </c>
      <c r="AE29" s="250">
        <f t="shared" si="12"/>
        <v>6513.833333333333</v>
      </c>
      <c r="AF29" s="348">
        <f t="shared" si="7"/>
        <v>78166</v>
      </c>
      <c r="AG29" s="333">
        <f t="shared" si="8"/>
        <v>78166</v>
      </c>
      <c r="AH29" s="337">
        <v>71060</v>
      </c>
      <c r="AI29" s="378" t="s">
        <v>309</v>
      </c>
    </row>
    <row r="30" spans="15:45" x14ac:dyDescent="0.3">
      <c r="P30" s="236"/>
      <c r="Q30" s="10"/>
      <c r="R30" s="7"/>
      <c r="S30" s="346" t="s">
        <v>253</v>
      </c>
      <c r="T30" s="250">
        <f>(AG30/12)+34</f>
        <v>382.88333333333338</v>
      </c>
      <c r="U30" s="250">
        <f>288.33</f>
        <v>288.33</v>
      </c>
      <c r="V30" s="250">
        <f>288.33+18</f>
        <v>306.33</v>
      </c>
      <c r="W30" s="250">
        <f>288.33</f>
        <v>288.33</v>
      </c>
      <c r="X30" s="250">
        <f>288.33</f>
        <v>288.33</v>
      </c>
      <c r="Y30" s="250">
        <f>288.33</f>
        <v>288.33</v>
      </c>
      <c r="Z30" s="250">
        <f>(288.33)+87</f>
        <v>375.33</v>
      </c>
      <c r="AA30" s="250">
        <f>(288.33)+182</f>
        <v>470.33</v>
      </c>
      <c r="AB30" s="250">
        <f>288.33</f>
        <v>288.33</v>
      </c>
      <c r="AC30" s="250">
        <f>(288.33)+170</f>
        <v>458.33</v>
      </c>
      <c r="AD30" s="250">
        <v>401</v>
      </c>
      <c r="AE30" s="250">
        <f>(288.33)+63</f>
        <v>351.33</v>
      </c>
      <c r="AF30" s="348">
        <f>SUM(T30:AE30)</f>
        <v>4187.1833333333334</v>
      </c>
      <c r="AG30" s="333">
        <f t="shared" si="8"/>
        <v>4186.6000000000004</v>
      </c>
      <c r="AH30" s="337">
        <v>3806</v>
      </c>
      <c r="AI30" s="349"/>
    </row>
    <row r="31" spans="15:45" x14ac:dyDescent="0.3">
      <c r="Q31" s="10"/>
      <c r="R31" s="7"/>
      <c r="S31" s="346" t="s">
        <v>157</v>
      </c>
      <c r="T31" s="250">
        <f>(AG31/12)-87</f>
        <v>515.89166666666677</v>
      </c>
      <c r="U31" s="250">
        <f>(548.08)-76</f>
        <v>472.08000000000004</v>
      </c>
      <c r="V31" s="250">
        <f>(548.08)+165</f>
        <v>713.08</v>
      </c>
      <c r="W31" s="250">
        <f>(548.08)+43</f>
        <v>591.08000000000004</v>
      </c>
      <c r="X31" s="250">
        <f>(548.08)+223</f>
        <v>771.08</v>
      </c>
      <c r="Y31" s="250">
        <f>(548.08)-64</f>
        <v>484.08000000000004</v>
      </c>
      <c r="Z31" s="250">
        <f>(548.08)-17</f>
        <v>531.08000000000004</v>
      </c>
      <c r="AA31" s="250">
        <f>(548.08)-31</f>
        <v>517.08000000000004</v>
      </c>
      <c r="AB31" s="250">
        <f>(548.08)+308</f>
        <v>856.08</v>
      </c>
      <c r="AC31" s="250">
        <f>(548.08)+28+66</f>
        <v>642.08000000000004</v>
      </c>
      <c r="AD31" s="250">
        <f>(548.08)+143</f>
        <v>691.08</v>
      </c>
      <c r="AE31" s="250">
        <f>(548.08)-97.77+0.7-1</f>
        <v>450.01000000000005</v>
      </c>
      <c r="AF31" s="348">
        <f t="shared" si="7"/>
        <v>7234.7016666666668</v>
      </c>
      <c r="AG31" s="333">
        <f t="shared" si="8"/>
        <v>7234.7000000000007</v>
      </c>
      <c r="AH31" s="337">
        <v>6577</v>
      </c>
      <c r="AI31" s="7" t="s">
        <v>298</v>
      </c>
    </row>
    <row r="32" spans="15:45" x14ac:dyDescent="0.3">
      <c r="Q32" s="10"/>
      <c r="R32" s="7"/>
      <c r="S32" s="346" t="s">
        <v>55</v>
      </c>
      <c r="T32" s="250">
        <f>(AG32/12)+248</f>
        <v>584.6</v>
      </c>
      <c r="U32" s="250">
        <f>(306)-41</f>
        <v>265</v>
      </c>
      <c r="V32" s="250">
        <f>(306)+190</f>
        <v>496</v>
      </c>
      <c r="W32" s="250">
        <f>(306)-76</f>
        <v>230</v>
      </c>
      <c r="X32" s="250">
        <f>(306)+20</f>
        <v>326</v>
      </c>
      <c r="Y32" s="250">
        <f>(306)+28</f>
        <v>334</v>
      </c>
      <c r="Z32" s="250">
        <f>(306)+84</f>
        <v>390</v>
      </c>
      <c r="AA32" s="250">
        <f>(306)+17</f>
        <v>323</v>
      </c>
      <c r="AB32" s="250">
        <f>(306)-48.6</f>
        <v>257.39999999999998</v>
      </c>
      <c r="AC32" s="250">
        <f>(306)+27</f>
        <v>333</v>
      </c>
      <c r="AD32" s="250">
        <f>(306)-92</f>
        <v>214</v>
      </c>
      <c r="AE32" s="250">
        <f>(306)-20+0.2</f>
        <v>286.2</v>
      </c>
      <c r="AF32" s="348">
        <f t="shared" si="7"/>
        <v>4039.2</v>
      </c>
      <c r="AG32" s="333">
        <f t="shared" si="8"/>
        <v>4039.2000000000003</v>
      </c>
      <c r="AH32" s="337">
        <v>3672</v>
      </c>
      <c r="AI32" s="378" t="s">
        <v>297</v>
      </c>
    </row>
    <row r="33" spans="5:42" x14ac:dyDescent="0.3">
      <c r="Q33" s="10"/>
      <c r="R33" s="7"/>
      <c r="S33" s="351" t="s">
        <v>177</v>
      </c>
      <c r="T33" s="250">
        <f>(AG33/12)-79</f>
        <v>80.041666666666686</v>
      </c>
      <c r="U33" s="250">
        <f>(159.04)-26-50</f>
        <v>83.039999999999992</v>
      </c>
      <c r="V33" s="250">
        <f>(159.04)+14</f>
        <v>173.04</v>
      </c>
      <c r="W33" s="250">
        <f>(159.04)+27</f>
        <v>186.04</v>
      </c>
      <c r="X33" s="250">
        <f>(159.04)+34</f>
        <v>193.04</v>
      </c>
      <c r="Y33" s="250">
        <f>(159.04)+98</f>
        <v>257.03999999999996</v>
      </c>
      <c r="Z33" s="250">
        <f>(159.04)+65</f>
        <v>224.04</v>
      </c>
      <c r="AA33" s="250">
        <f>(159.04)+16+5</f>
        <v>180.04</v>
      </c>
      <c r="AB33" s="250">
        <f>(159.04)+9</f>
        <v>168.04</v>
      </c>
      <c r="AC33" s="250">
        <f>(159.04)-12.48</f>
        <v>146.56</v>
      </c>
      <c r="AD33" s="250">
        <f>(159.04)-44</f>
        <v>115.03999999999999</v>
      </c>
      <c r="AE33" s="250">
        <f>(159.04)-56+0.5-1</f>
        <v>102.53999999999999</v>
      </c>
      <c r="AF33" s="348">
        <f t="shared" si="7"/>
        <v>1908.5016666666663</v>
      </c>
      <c r="AG33" s="333">
        <f t="shared" si="8"/>
        <v>1908.5000000000002</v>
      </c>
      <c r="AH33" s="337">
        <v>1735</v>
      </c>
      <c r="AI33" s="378" t="s">
        <v>303</v>
      </c>
    </row>
    <row r="34" spans="5:42" x14ac:dyDescent="0.3">
      <c r="R34" s="7"/>
      <c r="S34" s="352" t="s">
        <v>132</v>
      </c>
      <c r="T34" s="250">
        <v>5000</v>
      </c>
      <c r="U34" s="250"/>
      <c r="V34" s="250"/>
      <c r="W34" s="250">
        <f>(SUM(T11:V11)/11)-(SUM(T13:V33)/11)</f>
        <v>23404.04317246221</v>
      </c>
      <c r="X34" s="250"/>
      <c r="Y34" s="250"/>
      <c r="Z34" s="250">
        <f>SUM(W11:Y11)/11-SUM(W13:Y33)/11</f>
        <v>18859.111920042698</v>
      </c>
      <c r="AA34" s="250"/>
      <c r="AB34" s="250"/>
      <c r="AC34" s="250">
        <f>SUM(Z11:AB11)/11-SUM(Z13:AB33)/11</f>
        <v>21719.28738545996</v>
      </c>
      <c r="AD34" s="250"/>
      <c r="AE34" s="250"/>
      <c r="AF34" s="348">
        <f t="shared" si="7"/>
        <v>68982.442477964869</v>
      </c>
      <c r="AG34" s="333">
        <f>AF34</f>
        <v>68982.442477964869</v>
      </c>
      <c r="AH34" s="337">
        <f>AF34</f>
        <v>68982.442477964869</v>
      </c>
      <c r="AI34" s="349"/>
    </row>
    <row r="35" spans="5:42" x14ac:dyDescent="0.3">
      <c r="E35" s="298"/>
      <c r="R35" s="7"/>
      <c r="S35" s="350" t="s">
        <v>99</v>
      </c>
      <c r="T35" s="250">
        <f>AG35/26*3</f>
        <v>8076.9230769230771</v>
      </c>
      <c r="U35" s="250">
        <f>AG35/26*2</f>
        <v>5384.6153846153848</v>
      </c>
      <c r="V35" s="250">
        <f>AH35/26*2</f>
        <v>5384.6153846153848</v>
      </c>
      <c r="W35" s="250">
        <v>5384.62</v>
      </c>
      <c r="X35" s="250">
        <v>5384.62</v>
      </c>
      <c r="Y35" s="250">
        <v>5384.62</v>
      </c>
      <c r="Z35" s="250">
        <v>8076.92</v>
      </c>
      <c r="AA35" s="250">
        <v>5384.62</v>
      </c>
      <c r="AB35" s="250">
        <v>5384.62</v>
      </c>
      <c r="AC35" s="250">
        <v>5384.62</v>
      </c>
      <c r="AD35" s="250">
        <v>5384.62</v>
      </c>
      <c r="AE35" s="250">
        <f>$AH35*AE68/26</f>
        <v>5384.6153846153848</v>
      </c>
      <c r="AF35" s="348">
        <f t="shared" si="7"/>
        <v>70000.029230769243</v>
      </c>
      <c r="AG35" s="333">
        <f>AH35</f>
        <v>70000</v>
      </c>
      <c r="AH35" s="337">
        <v>70000</v>
      </c>
      <c r="AI35" s="349"/>
    </row>
    <row r="36" spans="5:42" x14ac:dyDescent="0.3">
      <c r="P36" s="277"/>
      <c r="R36" s="7"/>
      <c r="S36" s="350" t="s">
        <v>98</v>
      </c>
      <c r="T36" s="250">
        <f t="shared" ref="T36:AD36" si="13">$AH36*T68/26</f>
        <v>8076.9230769230771</v>
      </c>
      <c r="U36" s="250">
        <f t="shared" si="13"/>
        <v>5384.6153846153848</v>
      </c>
      <c r="V36" s="250">
        <f t="shared" si="13"/>
        <v>5384.6153846153848</v>
      </c>
      <c r="W36" s="250">
        <f t="shared" si="13"/>
        <v>5384.6153846153848</v>
      </c>
      <c r="X36" s="250">
        <f t="shared" si="13"/>
        <v>5384.6153846153848</v>
      </c>
      <c r="Y36" s="250">
        <f t="shared" si="13"/>
        <v>5384.6153846153848</v>
      </c>
      <c r="Z36" s="250">
        <f t="shared" si="13"/>
        <v>8076.9230769230771</v>
      </c>
      <c r="AA36" s="250">
        <f t="shared" si="13"/>
        <v>5384.6153846153848</v>
      </c>
      <c r="AB36" s="250">
        <f t="shared" si="13"/>
        <v>5384.6153846153848</v>
      </c>
      <c r="AC36" s="250">
        <f t="shared" si="13"/>
        <v>5384.6153846153848</v>
      </c>
      <c r="AD36" s="250">
        <f t="shared" si="13"/>
        <v>5384.6153846153848</v>
      </c>
      <c r="AE36" s="250">
        <f>$AH36*AE68/26</f>
        <v>5384.6153846153848</v>
      </c>
      <c r="AF36" s="348">
        <f t="shared" si="7"/>
        <v>69999.999999999985</v>
      </c>
      <c r="AG36" s="333">
        <f t="shared" ref="AG36:AG44" si="14">AH36</f>
        <v>70000</v>
      </c>
      <c r="AH36" s="337">
        <v>70000</v>
      </c>
      <c r="AI36" s="349"/>
    </row>
    <row r="37" spans="5:42" x14ac:dyDescent="0.3">
      <c r="P37" s="35"/>
      <c r="R37" s="7"/>
      <c r="S37" s="347" t="s">
        <v>57</v>
      </c>
      <c r="T37" s="250">
        <f t="shared" ref="T37:AD37" si="15">$AH37*T68/26</f>
        <v>10961.653846153846</v>
      </c>
      <c r="U37" s="250">
        <f t="shared" si="15"/>
        <v>7307.7692307692305</v>
      </c>
      <c r="V37" s="250">
        <f t="shared" si="15"/>
        <v>7307.7692307692305</v>
      </c>
      <c r="W37" s="250">
        <f t="shared" si="15"/>
        <v>7307.7692307692305</v>
      </c>
      <c r="X37" s="250">
        <f t="shared" si="15"/>
        <v>7307.7692307692305</v>
      </c>
      <c r="Y37" s="250">
        <f t="shared" si="15"/>
        <v>7307.7692307692305</v>
      </c>
      <c r="Z37" s="250">
        <f t="shared" si="15"/>
        <v>10961.653846153846</v>
      </c>
      <c r="AA37" s="250">
        <f t="shared" si="15"/>
        <v>7307.7692307692305</v>
      </c>
      <c r="AB37" s="250">
        <f t="shared" si="15"/>
        <v>7307.7692307692305</v>
      </c>
      <c r="AC37" s="250">
        <f t="shared" si="15"/>
        <v>7307.7692307692305</v>
      </c>
      <c r="AD37" s="250">
        <f t="shared" si="15"/>
        <v>7307.7692307692305</v>
      </c>
      <c r="AE37" s="250">
        <f>$AH37*AE68/26</f>
        <v>7307.7692307692305</v>
      </c>
      <c r="AF37" s="348">
        <f t="shared" si="7"/>
        <v>95001.000000000015</v>
      </c>
      <c r="AG37" s="333">
        <f t="shared" si="14"/>
        <v>95001</v>
      </c>
      <c r="AH37" s="337">
        <v>95001</v>
      </c>
      <c r="AI37" s="349"/>
    </row>
    <row r="38" spans="5:42" x14ac:dyDescent="0.3">
      <c r="R38" s="7"/>
      <c r="S38" s="347" t="s">
        <v>58</v>
      </c>
      <c r="T38" s="250">
        <f t="shared" ref="T38:AD38" si="16">$AH38*T68/26</f>
        <v>10576.846153846154</v>
      </c>
      <c r="U38" s="250">
        <f t="shared" si="16"/>
        <v>7051.2307692307695</v>
      </c>
      <c r="V38" s="250">
        <f t="shared" si="16"/>
        <v>7051.2307692307695</v>
      </c>
      <c r="W38" s="250">
        <f t="shared" si="16"/>
        <v>7051.2307692307695</v>
      </c>
      <c r="X38" s="250">
        <f t="shared" si="16"/>
        <v>7051.2307692307695</v>
      </c>
      <c r="Y38" s="250">
        <f t="shared" si="16"/>
        <v>7051.2307692307695</v>
      </c>
      <c r="Z38" s="250">
        <f t="shared" si="16"/>
        <v>10576.846153846154</v>
      </c>
      <c r="AA38" s="250">
        <f t="shared" si="16"/>
        <v>7051.2307692307695</v>
      </c>
      <c r="AB38" s="250">
        <f t="shared" si="16"/>
        <v>7051.2307692307695</v>
      </c>
      <c r="AC38" s="250">
        <f t="shared" si="16"/>
        <v>7051.2307692307695</v>
      </c>
      <c r="AD38" s="250">
        <f t="shared" si="16"/>
        <v>7051.2307692307695</v>
      </c>
      <c r="AE38" s="250">
        <f>$AH38*AE68/26</f>
        <v>7051.2307692307695</v>
      </c>
      <c r="AF38" s="348">
        <f t="shared" si="7"/>
        <v>91665.999999999985</v>
      </c>
      <c r="AG38" s="333">
        <f t="shared" si="14"/>
        <v>91666</v>
      </c>
      <c r="AH38" s="337">
        <v>91666</v>
      </c>
      <c r="AI38" s="349"/>
    </row>
    <row r="39" spans="5:42" x14ac:dyDescent="0.3">
      <c r="R39" s="7"/>
      <c r="S39" s="347" t="s">
        <v>59</v>
      </c>
      <c r="T39" s="250">
        <f t="shared" ref="T39:V39" si="17">$AH39*T68/26</f>
        <v>7307.6538461538457</v>
      </c>
      <c r="U39" s="250">
        <f t="shared" si="17"/>
        <v>4871.7692307692305</v>
      </c>
      <c r="V39" s="250">
        <f t="shared" si="17"/>
        <v>4871.7692307692305</v>
      </c>
      <c r="W39" s="250">
        <f t="shared" ref="W39:AE39" si="18">$AH39*W68/26</f>
        <v>4871.7692307692305</v>
      </c>
      <c r="X39" s="250">
        <f t="shared" si="18"/>
        <v>4871.7692307692305</v>
      </c>
      <c r="Y39" s="250">
        <f t="shared" si="18"/>
        <v>4871.7692307692305</v>
      </c>
      <c r="Z39" s="250">
        <f t="shared" si="18"/>
        <v>7307.6538461538457</v>
      </c>
      <c r="AA39" s="250">
        <f t="shared" si="18"/>
        <v>4871.7692307692305</v>
      </c>
      <c r="AB39" s="250">
        <f t="shared" si="18"/>
        <v>4871.7692307692305</v>
      </c>
      <c r="AC39" s="250">
        <f t="shared" si="18"/>
        <v>4871.7692307692305</v>
      </c>
      <c r="AD39" s="250">
        <f t="shared" si="18"/>
        <v>4871.7692307692305</v>
      </c>
      <c r="AE39" s="250">
        <f t="shared" si="18"/>
        <v>4871.7692307692305</v>
      </c>
      <c r="AF39" s="348">
        <f>SUM(T39:AE39)</f>
        <v>63333.000000000015</v>
      </c>
      <c r="AG39" s="333">
        <f t="shared" si="14"/>
        <v>63333</v>
      </c>
      <c r="AH39" s="337">
        <v>63333</v>
      </c>
      <c r="AI39" s="349"/>
    </row>
    <row r="40" spans="5:42" x14ac:dyDescent="0.3">
      <c r="R40" s="7"/>
      <c r="S40" s="347" t="s">
        <v>60</v>
      </c>
      <c r="T40" s="250">
        <f>$AH40*T68/26</f>
        <v>5192.3076923076924</v>
      </c>
      <c r="U40" s="250">
        <f t="shared" ref="U40:AE40" si="19">$AH40*U68/26</f>
        <v>3461.5384615384614</v>
      </c>
      <c r="V40" s="250">
        <f t="shared" si="19"/>
        <v>3461.5384615384614</v>
      </c>
      <c r="W40" s="250">
        <f t="shared" si="19"/>
        <v>3461.5384615384614</v>
      </c>
      <c r="X40" s="250">
        <f t="shared" si="19"/>
        <v>3461.5384615384614</v>
      </c>
      <c r="Y40" s="250">
        <f t="shared" si="19"/>
        <v>3461.5384615384614</v>
      </c>
      <c r="Z40" s="250">
        <f t="shared" si="19"/>
        <v>5192.3076923076924</v>
      </c>
      <c r="AA40" s="250">
        <f t="shared" si="19"/>
        <v>3461.5384615384614</v>
      </c>
      <c r="AB40" s="250">
        <f t="shared" si="19"/>
        <v>3461.5384615384614</v>
      </c>
      <c r="AC40" s="250">
        <f t="shared" si="19"/>
        <v>3461.5384615384614</v>
      </c>
      <c r="AD40" s="250">
        <f t="shared" si="19"/>
        <v>3461.5384615384614</v>
      </c>
      <c r="AE40" s="250">
        <f t="shared" si="19"/>
        <v>3461.5384615384614</v>
      </c>
      <c r="AF40" s="348">
        <f t="shared" si="7"/>
        <v>45000</v>
      </c>
      <c r="AG40" s="333">
        <f t="shared" si="14"/>
        <v>45000</v>
      </c>
      <c r="AH40" s="337">
        <v>45000</v>
      </c>
      <c r="AI40" s="349" t="s">
        <v>349</v>
      </c>
      <c r="AJ40" s="35"/>
    </row>
    <row r="41" spans="5:42" x14ac:dyDescent="0.3">
      <c r="R41" s="7"/>
      <c r="S41" s="347" t="s">
        <v>357</v>
      </c>
      <c r="T41" s="250">
        <f>SUM(T35:T40)*0.095</f>
        <v>4768.2692307692314</v>
      </c>
      <c r="U41" s="250">
        <f t="shared" ref="U41:AE41" si="20">SUM(U35:U40)*0.095</f>
        <v>3178.8461538461538</v>
      </c>
      <c r="V41" s="250">
        <f t="shared" si="20"/>
        <v>3178.8461538461538</v>
      </c>
      <c r="W41" s="250">
        <f t="shared" si="20"/>
        <v>3178.8465923076928</v>
      </c>
      <c r="X41" s="250">
        <f t="shared" si="20"/>
        <v>3178.8465923076928</v>
      </c>
      <c r="Y41" s="250">
        <f t="shared" si="20"/>
        <v>3178.8465923076928</v>
      </c>
      <c r="Z41" s="250">
        <f t="shared" si="20"/>
        <v>4768.2689384615387</v>
      </c>
      <c r="AA41" s="250">
        <f t="shared" si="20"/>
        <v>3178.8465923076928</v>
      </c>
      <c r="AB41" s="250">
        <f t="shared" si="20"/>
        <v>3178.8465923076928</v>
      </c>
      <c r="AC41" s="250">
        <f t="shared" si="20"/>
        <v>3178.8465923076928</v>
      </c>
      <c r="AD41" s="250">
        <f t="shared" si="20"/>
        <v>3178.8465923076928</v>
      </c>
      <c r="AE41" s="250">
        <f t="shared" si="20"/>
        <v>3178.8461538461538</v>
      </c>
      <c r="AF41" s="348">
        <f>SUM(T41:AE41)</f>
        <v>41325.002776923087</v>
      </c>
      <c r="AG41" s="333">
        <v>41325</v>
      </c>
      <c r="AH41" s="359">
        <v>41325</v>
      </c>
      <c r="AI41" s="349"/>
      <c r="AJ41" s="35"/>
    </row>
    <row r="42" spans="5:42" s="7" customFormat="1" x14ac:dyDescent="0.3">
      <c r="S42" s="347" t="s">
        <v>23</v>
      </c>
      <c r="T42" s="250">
        <f>SUM(T35:T41)*0.0175</f>
        <v>961.8100961538463</v>
      </c>
      <c r="U42" s="250">
        <f t="shared" ref="U42:AE42" si="21">SUM(U35:U41)*0.0175</f>
        <v>641.20673076923083</v>
      </c>
      <c r="V42" s="250">
        <f t="shared" si="21"/>
        <v>641.20673076923083</v>
      </c>
      <c r="W42" s="250">
        <f t="shared" si="21"/>
        <v>641.20681921153857</v>
      </c>
      <c r="X42" s="250">
        <f t="shared" si="21"/>
        <v>641.20681921153857</v>
      </c>
      <c r="Y42" s="250">
        <f t="shared" si="21"/>
        <v>641.20681921153857</v>
      </c>
      <c r="Z42" s="250">
        <f t="shared" si="21"/>
        <v>961.81003719230773</v>
      </c>
      <c r="AA42" s="250">
        <f t="shared" si="21"/>
        <v>641.20681921153857</v>
      </c>
      <c r="AB42" s="250">
        <f t="shared" si="21"/>
        <v>641.20681921153857</v>
      </c>
      <c r="AC42" s="250">
        <f t="shared" si="21"/>
        <v>641.20681921153857</v>
      </c>
      <c r="AD42" s="250">
        <f t="shared" si="21"/>
        <v>641.20681921153857</v>
      </c>
      <c r="AE42" s="250">
        <f t="shared" si="21"/>
        <v>641.20673076923083</v>
      </c>
      <c r="AF42" s="348">
        <f>SUM(T42:AE42)</f>
        <v>8335.6880601346165</v>
      </c>
      <c r="AG42" s="333">
        <v>8336</v>
      </c>
      <c r="AH42" s="337">
        <v>8336</v>
      </c>
      <c r="AI42" s="378" t="s">
        <v>302</v>
      </c>
      <c r="AP42" s="7" t="s">
        <v>316</v>
      </c>
    </row>
    <row r="43" spans="5:42" x14ac:dyDescent="0.3">
      <c r="Q43" s="10"/>
      <c r="R43" s="7"/>
      <c r="S43" s="347" t="s">
        <v>149</v>
      </c>
      <c r="T43" s="250"/>
      <c r="U43" s="250"/>
      <c r="V43" s="250"/>
      <c r="W43" s="250"/>
      <c r="X43" s="250"/>
      <c r="Y43" s="250"/>
      <c r="Z43" s="250"/>
      <c r="AA43" s="250">
        <v>4000</v>
      </c>
      <c r="AB43" s="250"/>
      <c r="AC43" s="250"/>
      <c r="AD43" s="250"/>
      <c r="AE43" s="250"/>
      <c r="AF43" s="348">
        <f t="shared" si="7"/>
        <v>4000</v>
      </c>
      <c r="AG43" s="333">
        <f t="shared" si="14"/>
        <v>4000</v>
      </c>
      <c r="AH43" s="337">
        <v>4000</v>
      </c>
      <c r="AI43" s="349" t="s">
        <v>299</v>
      </c>
    </row>
    <row r="44" spans="5:42" x14ac:dyDescent="0.3">
      <c r="R44" s="7"/>
      <c r="S44" s="347" t="s">
        <v>61</v>
      </c>
      <c r="T44" s="250">
        <f t="shared" ref="T44:AD44" si="22">$AH44*T68/26</f>
        <v>18076.846153846152</v>
      </c>
      <c r="U44" s="250">
        <f t="shared" si="22"/>
        <v>12051.23076923077</v>
      </c>
      <c r="V44" s="250">
        <f t="shared" si="22"/>
        <v>12051.23076923077</v>
      </c>
      <c r="W44" s="250">
        <f t="shared" si="22"/>
        <v>12051.23076923077</v>
      </c>
      <c r="X44" s="250">
        <f t="shared" si="22"/>
        <v>12051.23076923077</v>
      </c>
      <c r="Y44" s="250">
        <f t="shared" si="22"/>
        <v>12051.23076923077</v>
      </c>
      <c r="Z44" s="250">
        <f t="shared" si="22"/>
        <v>18076.846153846152</v>
      </c>
      <c r="AA44" s="250">
        <f t="shared" si="22"/>
        <v>12051.23076923077</v>
      </c>
      <c r="AB44" s="250">
        <f t="shared" si="22"/>
        <v>12051.23076923077</v>
      </c>
      <c r="AC44" s="250">
        <f t="shared" si="22"/>
        <v>12051.23076923077</v>
      </c>
      <c r="AD44" s="250">
        <f t="shared" si="22"/>
        <v>12051.23076923077</v>
      </c>
      <c r="AE44" s="250">
        <f>$AH44*AE68/26</f>
        <v>12051.23076923077</v>
      </c>
      <c r="AF44" s="348">
        <f t="shared" si="7"/>
        <v>156666</v>
      </c>
      <c r="AG44" s="333">
        <f t="shared" si="14"/>
        <v>156666</v>
      </c>
      <c r="AH44" s="337">
        <v>156666</v>
      </c>
      <c r="AI44" s="378" t="s">
        <v>301</v>
      </c>
    </row>
    <row r="45" spans="5:42" x14ac:dyDescent="0.3">
      <c r="R45" s="7"/>
      <c r="S45" s="347" t="s">
        <v>358</v>
      </c>
      <c r="T45" s="250">
        <f>T44*0.095</f>
        <v>1717.3003846153845</v>
      </c>
      <c r="U45" s="250">
        <f t="shared" ref="U45:AE45" si="23">U44*0.095</f>
        <v>1144.8669230769231</v>
      </c>
      <c r="V45" s="250">
        <f t="shared" si="23"/>
        <v>1144.8669230769231</v>
      </c>
      <c r="W45" s="250">
        <f t="shared" si="23"/>
        <v>1144.8669230769231</v>
      </c>
      <c r="X45" s="250">
        <f t="shared" si="23"/>
        <v>1144.8669230769231</v>
      </c>
      <c r="Y45" s="250">
        <f t="shared" si="23"/>
        <v>1144.8669230769231</v>
      </c>
      <c r="Z45" s="250">
        <f t="shared" si="23"/>
        <v>1717.3003846153845</v>
      </c>
      <c r="AA45" s="250">
        <f t="shared" si="23"/>
        <v>1144.8669230769231</v>
      </c>
      <c r="AB45" s="250">
        <f t="shared" si="23"/>
        <v>1144.8669230769231</v>
      </c>
      <c r="AC45" s="250">
        <f t="shared" si="23"/>
        <v>1144.8669230769231</v>
      </c>
      <c r="AD45" s="250">
        <f t="shared" si="23"/>
        <v>1144.8669230769231</v>
      </c>
      <c r="AE45" s="250">
        <f t="shared" si="23"/>
        <v>1144.8669230769231</v>
      </c>
      <c r="AF45" s="348">
        <f t="shared" si="7"/>
        <v>14883.269999999999</v>
      </c>
      <c r="AG45" s="333">
        <v>14883</v>
      </c>
      <c r="AH45" s="337">
        <v>14883</v>
      </c>
      <c r="AI45" s="349"/>
    </row>
    <row r="46" spans="5:42" s="7" customFormat="1" x14ac:dyDescent="0.3">
      <c r="S46" s="347" t="s">
        <v>23</v>
      </c>
      <c r="T46" s="250">
        <f>SUM(T44:T45)*0.0175</f>
        <v>346.39756442307691</v>
      </c>
      <c r="U46" s="250">
        <f t="shared" ref="U46:AE46" si="24">SUM(U44:U45)*0.0175</f>
        <v>230.93170961538465</v>
      </c>
      <c r="V46" s="250">
        <f t="shared" si="24"/>
        <v>230.93170961538465</v>
      </c>
      <c r="W46" s="250">
        <f t="shared" si="24"/>
        <v>230.93170961538465</v>
      </c>
      <c r="X46" s="250">
        <f t="shared" si="24"/>
        <v>230.93170961538465</v>
      </c>
      <c r="Y46" s="250">
        <f t="shared" si="24"/>
        <v>230.93170961538465</v>
      </c>
      <c r="Z46" s="250">
        <f t="shared" si="24"/>
        <v>346.39756442307691</v>
      </c>
      <c r="AA46" s="250">
        <f t="shared" si="24"/>
        <v>230.93170961538465</v>
      </c>
      <c r="AB46" s="250">
        <f t="shared" si="24"/>
        <v>230.93170961538465</v>
      </c>
      <c r="AC46" s="250">
        <f t="shared" si="24"/>
        <v>230.93170961538465</v>
      </c>
      <c r="AD46" s="250">
        <f t="shared" si="24"/>
        <v>230.93170961538465</v>
      </c>
      <c r="AE46" s="250">
        <f t="shared" si="24"/>
        <v>230.93170961538465</v>
      </c>
      <c r="AF46" s="348">
        <f>SUM(T46:AE46)</f>
        <v>3002.1122249999994</v>
      </c>
      <c r="AG46" s="333">
        <v>3002</v>
      </c>
      <c r="AH46" s="337">
        <v>3002</v>
      </c>
      <c r="AI46" s="378" t="s">
        <v>302</v>
      </c>
      <c r="AP46" s="7" t="s">
        <v>317</v>
      </c>
    </row>
    <row r="47" spans="5:42" x14ac:dyDescent="0.3">
      <c r="R47" s="7"/>
      <c r="S47" s="346" t="s">
        <v>161</v>
      </c>
      <c r="T47" s="250">
        <f t="shared" ref="T47:T55" si="25">AG47/12</f>
        <v>418.41666666666669</v>
      </c>
      <c r="U47" s="250">
        <f t="shared" ref="U47:AE47" si="26">T47</f>
        <v>418.41666666666669</v>
      </c>
      <c r="V47" s="250">
        <f t="shared" si="26"/>
        <v>418.41666666666669</v>
      </c>
      <c r="W47" s="250">
        <f t="shared" si="26"/>
        <v>418.41666666666669</v>
      </c>
      <c r="X47" s="250">
        <f t="shared" si="26"/>
        <v>418.41666666666669</v>
      </c>
      <c r="Y47" s="250">
        <f t="shared" si="26"/>
        <v>418.41666666666669</v>
      </c>
      <c r="Z47" s="250">
        <f t="shared" si="26"/>
        <v>418.41666666666669</v>
      </c>
      <c r="AA47" s="250">
        <f t="shared" si="26"/>
        <v>418.41666666666669</v>
      </c>
      <c r="AB47" s="250">
        <f t="shared" si="26"/>
        <v>418.41666666666669</v>
      </c>
      <c r="AC47" s="250">
        <f t="shared" si="26"/>
        <v>418.41666666666669</v>
      </c>
      <c r="AD47" s="250">
        <f t="shared" si="26"/>
        <v>418.41666666666669</v>
      </c>
      <c r="AE47" s="250">
        <f t="shared" si="26"/>
        <v>418.41666666666669</v>
      </c>
      <c r="AF47" s="348">
        <f t="shared" si="7"/>
        <v>5021</v>
      </c>
      <c r="AG47" s="333">
        <f t="shared" ref="AG47:AG55" si="27">AH47</f>
        <v>5021</v>
      </c>
      <c r="AH47" s="337">
        <v>5021</v>
      </c>
      <c r="AI47" s="378" t="s">
        <v>300</v>
      </c>
    </row>
    <row r="48" spans="5:42" x14ac:dyDescent="0.3">
      <c r="Q48" s="10"/>
      <c r="R48" s="7"/>
      <c r="S48" s="346" t="s">
        <v>152</v>
      </c>
      <c r="T48" s="250">
        <f>(AG48/12)-22</f>
        <v>453.83333333333331</v>
      </c>
      <c r="U48" s="250">
        <f>(475.83)+75</f>
        <v>550.82999999999993</v>
      </c>
      <c r="V48" s="250">
        <f>(475.83)+53</f>
        <v>528.82999999999993</v>
      </c>
      <c r="W48" s="250">
        <f>(475.83)-98</f>
        <v>377.83</v>
      </c>
      <c r="X48" s="250">
        <f>(475.83)+21</f>
        <v>496.83</v>
      </c>
      <c r="Y48" s="250">
        <v>475.83</v>
      </c>
      <c r="Z48" s="250">
        <f>(475.83)-19</f>
        <v>456.83</v>
      </c>
      <c r="AA48" s="250">
        <f>(475.83)+99</f>
        <v>574.82999999999993</v>
      </c>
      <c r="AB48" s="250">
        <f>(475.83)-83</f>
        <v>392.83</v>
      </c>
      <c r="AC48" s="250">
        <f>(475.83)-8</f>
        <v>467.83</v>
      </c>
      <c r="AD48" s="250">
        <f>(475.83)+51</f>
        <v>526.82999999999993</v>
      </c>
      <c r="AE48" s="250">
        <f>(475.83)-68.96</f>
        <v>406.87</v>
      </c>
      <c r="AF48" s="348">
        <f t="shared" si="7"/>
        <v>5710.0033333333331</v>
      </c>
      <c r="AG48" s="333">
        <f t="shared" si="27"/>
        <v>5710</v>
      </c>
      <c r="AH48" s="337">
        <v>5710</v>
      </c>
      <c r="AI48" s="349" t="s">
        <v>296</v>
      </c>
    </row>
    <row r="49" spans="17:35" x14ac:dyDescent="0.3">
      <c r="Q49" s="10"/>
      <c r="R49" s="7"/>
      <c r="S49" s="346" t="s">
        <v>155</v>
      </c>
      <c r="T49" s="250">
        <f>(AG49/12)+55</f>
        <v>425.41666666666669</v>
      </c>
      <c r="U49" s="250">
        <f>(370.42)-21</f>
        <v>349.42</v>
      </c>
      <c r="V49" s="250">
        <f>(370.42)-27</f>
        <v>343.42</v>
      </c>
      <c r="W49" s="250">
        <f>(370.42)-91</f>
        <v>279.42</v>
      </c>
      <c r="X49" s="250">
        <f>(370.42)+83</f>
        <v>453.42</v>
      </c>
      <c r="Y49" s="250">
        <f>(370.42)+40</f>
        <v>410.42</v>
      </c>
      <c r="Z49" s="250">
        <f>(370.42)+108</f>
        <v>478.42</v>
      </c>
      <c r="AA49" s="250">
        <f>(370.42)-42</f>
        <v>328.42</v>
      </c>
      <c r="AB49" s="250">
        <f>(370.42)+39+46</f>
        <v>455.42</v>
      </c>
      <c r="AC49" s="250">
        <f>(370.42)-65</f>
        <v>305.42</v>
      </c>
      <c r="AD49" s="250">
        <f>(370.42)-89</f>
        <v>281.42</v>
      </c>
      <c r="AE49" s="250">
        <f>(370.42)-36</f>
        <v>334.42</v>
      </c>
      <c r="AF49" s="348">
        <f t="shared" si="7"/>
        <v>4445.0366666666669</v>
      </c>
      <c r="AG49" s="333">
        <f t="shared" si="27"/>
        <v>4445</v>
      </c>
      <c r="AH49" s="337">
        <v>4445</v>
      </c>
      <c r="AI49" s="349"/>
    </row>
    <row r="50" spans="17:35" x14ac:dyDescent="0.3">
      <c r="Q50" s="239"/>
      <c r="R50" s="7"/>
      <c r="S50" s="346" t="s">
        <v>158</v>
      </c>
      <c r="T50" s="250">
        <f>(AG50/12)-368</f>
        <v>669.75</v>
      </c>
      <c r="U50" s="250">
        <f>(1037.75)-127</f>
        <v>910.75</v>
      </c>
      <c r="V50" s="250">
        <f>(1037.75)+18</f>
        <v>1055.75</v>
      </c>
      <c r="W50" s="250">
        <f>(1037.75)+45</f>
        <v>1082.75</v>
      </c>
      <c r="X50" s="250">
        <f>(1037.75)+67</f>
        <v>1104.75</v>
      </c>
      <c r="Y50" s="250">
        <f>(1037.75)+203</f>
        <v>1240.75</v>
      </c>
      <c r="Z50" s="250">
        <f>(1037.75)+89</f>
        <v>1126.75</v>
      </c>
      <c r="AA50" s="250">
        <f>(1037.75)+25</f>
        <v>1062.75</v>
      </c>
      <c r="AB50" s="250">
        <f>(1037.75)+12</f>
        <v>1049.75</v>
      </c>
      <c r="AC50" s="250">
        <f>(1037.75)+29</f>
        <v>1066.75</v>
      </c>
      <c r="AD50" s="250">
        <f>(1037.75)+8</f>
        <v>1045.75</v>
      </c>
      <c r="AE50" s="250">
        <f>(1037.75)-1</f>
        <v>1036.75</v>
      </c>
      <c r="AF50" s="348">
        <f t="shared" si="7"/>
        <v>12453</v>
      </c>
      <c r="AG50" s="348">
        <f t="shared" si="27"/>
        <v>12453</v>
      </c>
      <c r="AH50" s="337">
        <v>12453</v>
      </c>
      <c r="AI50" s="349" t="s">
        <v>295</v>
      </c>
    </row>
    <row r="51" spans="17:35" x14ac:dyDescent="0.3">
      <c r="Q51" s="239"/>
      <c r="R51" s="7"/>
      <c r="S51" s="346" t="s">
        <v>166</v>
      </c>
      <c r="T51" s="250">
        <f>(AG51/12)+98</f>
        <v>373</v>
      </c>
      <c r="U51" s="250">
        <f>(275)-22</f>
        <v>253</v>
      </c>
      <c r="V51" s="250">
        <f>(275)+45</f>
        <v>320</v>
      </c>
      <c r="W51" s="250">
        <f>(275)+12</f>
        <v>287</v>
      </c>
      <c r="X51" s="250">
        <f>(275)+59</f>
        <v>334</v>
      </c>
      <c r="Y51" s="250">
        <f>(275)-71</f>
        <v>204</v>
      </c>
      <c r="Z51" s="250">
        <f>(275)-79</f>
        <v>196</v>
      </c>
      <c r="AA51" s="250">
        <f>(275)-38</f>
        <v>237</v>
      </c>
      <c r="AB51" s="250">
        <f>(275)-60</f>
        <v>215</v>
      </c>
      <c r="AC51" s="250">
        <f>(275)+32</f>
        <v>307</v>
      </c>
      <c r="AD51" s="250">
        <f>(275)+42</f>
        <v>317</v>
      </c>
      <c r="AE51" s="250">
        <f>(275)-18</f>
        <v>257</v>
      </c>
      <c r="AF51" s="348">
        <f t="shared" si="7"/>
        <v>3300</v>
      </c>
      <c r="AG51" s="333">
        <f t="shared" si="27"/>
        <v>3300</v>
      </c>
      <c r="AH51" s="337">
        <v>3300</v>
      </c>
      <c r="AI51" s="349"/>
    </row>
    <row r="52" spans="17:35" x14ac:dyDescent="0.3">
      <c r="Q52" s="239"/>
      <c r="R52" s="7"/>
      <c r="S52" s="346" t="s">
        <v>170</v>
      </c>
      <c r="T52" s="250">
        <v>2960</v>
      </c>
      <c r="U52" s="250">
        <v>1200</v>
      </c>
      <c r="V52" s="250">
        <v>960</v>
      </c>
      <c r="W52" s="250">
        <v>2400</v>
      </c>
      <c r="X52" s="250">
        <v>2080</v>
      </c>
      <c r="Y52" s="250">
        <v>1040</v>
      </c>
      <c r="Z52" s="250">
        <v>2880</v>
      </c>
      <c r="AA52" s="250">
        <v>1360</v>
      </c>
      <c r="AB52" s="250">
        <f>(517.17)+43</f>
        <v>560.16999999999996</v>
      </c>
      <c r="AC52" s="250">
        <v>720</v>
      </c>
      <c r="AD52" s="250">
        <v>360</v>
      </c>
      <c r="AE52" s="250">
        <v>330</v>
      </c>
      <c r="AF52" s="348">
        <f t="shared" si="7"/>
        <v>16850.169999999998</v>
      </c>
      <c r="AG52" s="333">
        <f>AF52</f>
        <v>16850.169999999998</v>
      </c>
      <c r="AH52" s="337">
        <v>6206</v>
      </c>
      <c r="AI52" s="349"/>
    </row>
    <row r="53" spans="17:35" x14ac:dyDescent="0.3">
      <c r="Q53" s="7"/>
      <c r="R53" s="7"/>
      <c r="S53" s="346" t="s">
        <v>5</v>
      </c>
      <c r="T53" s="250">
        <f t="shared" si="25"/>
        <v>484.56416666666672</v>
      </c>
      <c r="U53" s="250">
        <f t="shared" ref="U53:AE55" si="28">T53</f>
        <v>484.56416666666672</v>
      </c>
      <c r="V53" s="250">
        <f t="shared" si="28"/>
        <v>484.56416666666672</v>
      </c>
      <c r="W53" s="250">
        <f t="shared" si="28"/>
        <v>484.56416666666672</v>
      </c>
      <c r="X53" s="250">
        <f t="shared" si="28"/>
        <v>484.56416666666672</v>
      </c>
      <c r="Y53" s="250">
        <f t="shared" si="28"/>
        <v>484.56416666666672</v>
      </c>
      <c r="Z53" s="250">
        <f t="shared" si="28"/>
        <v>484.56416666666672</v>
      </c>
      <c r="AA53" s="250">
        <f t="shared" si="28"/>
        <v>484.56416666666672</v>
      </c>
      <c r="AB53" s="250">
        <f t="shared" si="28"/>
        <v>484.56416666666672</v>
      </c>
      <c r="AC53" s="250">
        <f t="shared" si="28"/>
        <v>484.56416666666672</v>
      </c>
      <c r="AD53" s="250">
        <f t="shared" si="28"/>
        <v>484.56416666666672</v>
      </c>
      <c r="AE53" s="250">
        <f t="shared" si="28"/>
        <v>484.56416666666672</v>
      </c>
      <c r="AF53" s="348">
        <f t="shared" si="7"/>
        <v>5814.7700000000013</v>
      </c>
      <c r="AG53" s="333">
        <f t="shared" si="27"/>
        <v>5814.77</v>
      </c>
      <c r="AH53" s="337">
        <v>5814.77</v>
      </c>
      <c r="AI53" s="349"/>
    </row>
    <row r="54" spans="17:35" x14ac:dyDescent="0.3">
      <c r="Q54" s="7"/>
      <c r="R54" s="7"/>
      <c r="S54" s="346" t="s">
        <v>6</v>
      </c>
      <c r="T54" s="250">
        <f t="shared" si="25"/>
        <v>233.33333333333334</v>
      </c>
      <c r="U54" s="250">
        <f t="shared" si="28"/>
        <v>233.33333333333334</v>
      </c>
      <c r="V54" s="250">
        <f t="shared" si="28"/>
        <v>233.33333333333334</v>
      </c>
      <c r="W54" s="250">
        <f t="shared" si="28"/>
        <v>233.33333333333334</v>
      </c>
      <c r="X54" s="250">
        <f t="shared" si="28"/>
        <v>233.33333333333334</v>
      </c>
      <c r="Y54" s="250">
        <f t="shared" si="28"/>
        <v>233.33333333333334</v>
      </c>
      <c r="Z54" s="250">
        <f t="shared" si="28"/>
        <v>233.33333333333334</v>
      </c>
      <c r="AA54" s="250">
        <f t="shared" si="28"/>
        <v>233.33333333333334</v>
      </c>
      <c r="AB54" s="250">
        <f t="shared" si="28"/>
        <v>233.33333333333334</v>
      </c>
      <c r="AC54" s="250">
        <f t="shared" si="28"/>
        <v>233.33333333333334</v>
      </c>
      <c r="AD54" s="250">
        <f t="shared" si="28"/>
        <v>233.33333333333334</v>
      </c>
      <c r="AE54" s="250">
        <f t="shared" si="28"/>
        <v>233.33333333333334</v>
      </c>
      <c r="AF54" s="348">
        <f t="shared" si="7"/>
        <v>2800.0000000000005</v>
      </c>
      <c r="AG54" s="333">
        <f t="shared" si="27"/>
        <v>2800</v>
      </c>
      <c r="AH54" s="337">
        <v>2800</v>
      </c>
      <c r="AI54" s="349"/>
    </row>
    <row r="55" spans="17:35" x14ac:dyDescent="0.3">
      <c r="Q55" s="7"/>
      <c r="R55" s="7"/>
      <c r="S55" s="346" t="s">
        <v>213</v>
      </c>
      <c r="T55" s="250">
        <f t="shared" si="25"/>
        <v>444.41666666666669</v>
      </c>
      <c r="U55" s="250">
        <f t="shared" si="28"/>
        <v>444.41666666666669</v>
      </c>
      <c r="V55" s="250">
        <f t="shared" si="28"/>
        <v>444.41666666666669</v>
      </c>
      <c r="W55" s="250">
        <f t="shared" si="28"/>
        <v>444.41666666666669</v>
      </c>
      <c r="X55" s="250">
        <f t="shared" si="28"/>
        <v>444.41666666666669</v>
      </c>
      <c r="Y55" s="250">
        <f t="shared" si="28"/>
        <v>444.41666666666669</v>
      </c>
      <c r="Z55" s="250">
        <f t="shared" si="28"/>
        <v>444.41666666666669</v>
      </c>
      <c r="AA55" s="250">
        <f t="shared" si="28"/>
        <v>444.41666666666669</v>
      </c>
      <c r="AB55" s="250">
        <f t="shared" si="28"/>
        <v>444.41666666666669</v>
      </c>
      <c r="AC55" s="250">
        <f t="shared" si="28"/>
        <v>444.41666666666669</v>
      </c>
      <c r="AD55" s="250">
        <f t="shared" si="28"/>
        <v>444.41666666666669</v>
      </c>
      <c r="AE55" s="250">
        <f t="shared" si="28"/>
        <v>444.41666666666669</v>
      </c>
      <c r="AF55" s="348">
        <f t="shared" si="7"/>
        <v>5333</v>
      </c>
      <c r="AG55" s="333">
        <f t="shared" si="27"/>
        <v>5333</v>
      </c>
      <c r="AH55" s="360">
        <v>5333</v>
      </c>
      <c r="AI55" s="349"/>
    </row>
    <row r="56" spans="17:35" x14ac:dyDescent="0.3">
      <c r="R56" s="7"/>
      <c r="S56" s="357" t="s">
        <v>351</v>
      </c>
      <c r="T56" s="7">
        <v>1544</v>
      </c>
      <c r="U56" s="7">
        <v>1544</v>
      </c>
      <c r="V56" s="7">
        <v>1544</v>
      </c>
      <c r="W56" s="7">
        <v>1544</v>
      </c>
      <c r="X56" s="7">
        <v>1544</v>
      </c>
      <c r="Y56" s="7">
        <v>1544</v>
      </c>
      <c r="Z56" s="7">
        <v>1544</v>
      </c>
      <c r="AA56" s="7">
        <v>1544</v>
      </c>
      <c r="AB56" s="7">
        <v>1544</v>
      </c>
      <c r="AC56" s="7">
        <v>1544</v>
      </c>
      <c r="AD56" s="7">
        <v>1544</v>
      </c>
      <c r="AE56" s="7">
        <v>1544</v>
      </c>
      <c r="AF56" s="348">
        <f>SUM(T56:AE56)</f>
        <v>18528</v>
      </c>
      <c r="AG56" s="361">
        <f>AF56</f>
        <v>18528</v>
      </c>
      <c r="AH56" s="7"/>
      <c r="AI56" s="7"/>
    </row>
    <row r="57" spans="17:35" x14ac:dyDescent="0.3">
      <c r="Q57" s="7"/>
      <c r="R57" s="7"/>
      <c r="S57" s="373" t="s">
        <v>352</v>
      </c>
      <c r="T57" s="250">
        <v>570</v>
      </c>
      <c r="U57" s="250">
        <v>570</v>
      </c>
      <c r="V57" s="250">
        <v>570</v>
      </c>
      <c r="W57" s="250">
        <v>570</v>
      </c>
      <c r="X57" s="250">
        <v>570</v>
      </c>
      <c r="Y57" s="250">
        <v>570</v>
      </c>
      <c r="Z57" s="250">
        <v>570</v>
      </c>
      <c r="AA57" s="250">
        <v>570</v>
      </c>
      <c r="AB57" s="250">
        <v>570</v>
      </c>
      <c r="AC57" s="250">
        <v>570</v>
      </c>
      <c r="AD57" s="250">
        <v>570</v>
      </c>
      <c r="AE57" s="250">
        <v>570</v>
      </c>
      <c r="AF57" s="348">
        <f>SUM(T57:AE57)</f>
        <v>6840</v>
      </c>
      <c r="AG57" s="362">
        <f>AF57</f>
        <v>6840</v>
      </c>
      <c r="AH57" s="363"/>
      <c r="AI57" s="349"/>
    </row>
    <row r="58" spans="17:35" x14ac:dyDescent="0.3">
      <c r="Q58" s="7"/>
      <c r="R58" s="7"/>
      <c r="S58" s="358" t="s">
        <v>350</v>
      </c>
      <c r="T58" s="250">
        <v>3888</v>
      </c>
      <c r="U58" s="250">
        <v>3888</v>
      </c>
      <c r="V58" s="250">
        <v>3888</v>
      </c>
      <c r="W58" s="250">
        <v>3888</v>
      </c>
      <c r="X58" s="250">
        <v>3888</v>
      </c>
      <c r="Y58" s="250">
        <v>3888</v>
      </c>
      <c r="Z58" s="250">
        <v>3888</v>
      </c>
      <c r="AA58" s="250">
        <v>3888</v>
      </c>
      <c r="AB58" s="250">
        <v>3888</v>
      </c>
      <c r="AC58" s="250">
        <v>3888</v>
      </c>
      <c r="AD58" s="250">
        <v>3888</v>
      </c>
      <c r="AE58" s="250">
        <v>3888</v>
      </c>
      <c r="AF58" s="348">
        <f>SUM(T58:AE58)</f>
        <v>46656</v>
      </c>
      <c r="AG58" s="362">
        <f>AF58</f>
        <v>46656</v>
      </c>
      <c r="AH58" s="363"/>
      <c r="AI58" s="349"/>
    </row>
    <row r="59" spans="17:35" x14ac:dyDescent="0.3">
      <c r="R59" s="7"/>
      <c r="S59" s="353" t="s">
        <v>27</v>
      </c>
      <c r="T59" s="241">
        <f t="shared" ref="T59:AG59" si="29">SUM(T13:T58)</f>
        <v>126954.40362211539</v>
      </c>
      <c r="U59" s="241">
        <f t="shared" si="29"/>
        <v>97003.131914743601</v>
      </c>
      <c r="V59" s="241">
        <f t="shared" si="29"/>
        <v>124954.13191474363</v>
      </c>
      <c r="W59" s="241">
        <f t="shared" si="29"/>
        <v>149678.2202294943</v>
      </c>
      <c r="X59" s="241">
        <f t="shared" si="29"/>
        <v>128899.17705703207</v>
      </c>
      <c r="Y59" s="241">
        <f t="shared" si="29"/>
        <v>132012.13645703206</v>
      </c>
      <c r="Z59" s="241">
        <f t="shared" si="29"/>
        <v>165906.55078063245</v>
      </c>
      <c r="AA59" s="241">
        <f t="shared" si="29"/>
        <v>123529.13705703209</v>
      </c>
      <c r="AB59" s="241">
        <f t="shared" si="29"/>
        <v>118683.70705703208</v>
      </c>
      <c r="AC59" s="241">
        <f t="shared" si="29"/>
        <v>139412.94444249207</v>
      </c>
      <c r="AD59" s="241">
        <f t="shared" si="29"/>
        <v>117698.80705703209</v>
      </c>
      <c r="AE59" s="241">
        <f t="shared" si="29"/>
        <v>116810.6819147436</v>
      </c>
      <c r="AF59" s="241">
        <f t="shared" si="29"/>
        <v>1541543.0295041252</v>
      </c>
      <c r="AG59" s="290">
        <f t="shared" si="29"/>
        <v>1541542.2824779649</v>
      </c>
      <c r="AH59" s="7"/>
      <c r="AI59" s="7"/>
    </row>
    <row r="60" spans="17:35" x14ac:dyDescent="0.3">
      <c r="R60" s="7"/>
      <c r="S60" s="353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>
        <f>SUM(T59:AE59)</f>
        <v>1541543.0295041252</v>
      </c>
      <c r="AG60" s="290"/>
      <c r="AH60" s="7" t="s">
        <v>319</v>
      </c>
      <c r="AI60" s="7"/>
    </row>
    <row r="61" spans="17:35" x14ac:dyDescent="0.3">
      <c r="R61" s="7"/>
      <c r="S61" s="353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>
        <f>SUM(T13:AE58)</f>
        <v>1541543.0295041287</v>
      </c>
      <c r="AG61" s="290"/>
      <c r="AH61" s="7" t="s">
        <v>319</v>
      </c>
      <c r="AI61" s="7"/>
    </row>
    <row r="62" spans="17:35" x14ac:dyDescent="0.3">
      <c r="R62" s="7"/>
      <c r="S62" s="353" t="s">
        <v>254</v>
      </c>
      <c r="T62" s="364">
        <f t="shared" ref="T62:AE62" si="30">T11-T59</f>
        <v>19116.375176218207</v>
      </c>
      <c r="U62" s="364">
        <f t="shared" si="30"/>
        <v>20472.6232177567</v>
      </c>
      <c r="V62" s="364">
        <f t="shared" si="30"/>
        <v>1273.1113848400128</v>
      </c>
      <c r="W62" s="295">
        <f t="shared" si="30"/>
        <v>-19087.732846368977</v>
      </c>
      <c r="X62" s="364">
        <f t="shared" si="30"/>
        <v>4219.932367864094</v>
      </c>
      <c r="Y62" s="364">
        <f t="shared" si="30"/>
        <v>11772.918255416036</v>
      </c>
      <c r="Z62" s="295">
        <f t="shared" si="30"/>
        <v>-26548.157691074914</v>
      </c>
      <c r="AA62" s="364">
        <f t="shared" si="30"/>
        <v>13615.925221080193</v>
      </c>
      <c r="AB62" s="364">
        <f t="shared" si="30"/>
        <v>17382.739815357563</v>
      </c>
      <c r="AC62" s="295">
        <f t="shared" si="30"/>
        <v>-4890.3052729642368</v>
      </c>
      <c r="AD62" s="364">
        <f t="shared" si="30"/>
        <v>16887.928261065317</v>
      </c>
      <c r="AE62" s="364">
        <f t="shared" si="30"/>
        <v>17464.6014776386</v>
      </c>
      <c r="AF62" s="364"/>
      <c r="AG62" s="365"/>
      <c r="AH62" s="7"/>
      <c r="AI62" s="7"/>
    </row>
    <row r="63" spans="17:35" x14ac:dyDescent="0.3">
      <c r="R63" s="7"/>
      <c r="S63" s="366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290"/>
      <c r="AH63" s="7"/>
      <c r="AI63" s="7"/>
    </row>
    <row r="64" spans="17:35" x14ac:dyDescent="0.3">
      <c r="R64" s="7"/>
      <c r="S64" s="353" t="s">
        <v>255</v>
      </c>
      <c r="T64" s="340">
        <f t="shared" ref="T64:AE64" si="31">T8+T62</f>
        <v>-37728.624823781793</v>
      </c>
      <c r="U64" s="340">
        <f t="shared" si="31"/>
        <v>-17256.001606025093</v>
      </c>
      <c r="V64" s="340">
        <f t="shared" si="31"/>
        <v>-15982.89022118508</v>
      </c>
      <c r="W64" s="340">
        <f t="shared" si="31"/>
        <v>-35070.623067554057</v>
      </c>
      <c r="X64" s="340">
        <f t="shared" si="31"/>
        <v>-30850.690699689963</v>
      </c>
      <c r="Y64" s="340">
        <f t="shared" si="31"/>
        <v>-19077.772444273927</v>
      </c>
      <c r="Z64" s="340">
        <f t="shared" si="31"/>
        <v>-45625.930135348841</v>
      </c>
      <c r="AA64" s="340">
        <f t="shared" si="31"/>
        <v>-32010.004914268648</v>
      </c>
      <c r="AB64" s="340">
        <f t="shared" si="31"/>
        <v>-14627.265098911084</v>
      </c>
      <c r="AC64" s="340">
        <f t="shared" si="31"/>
        <v>-19517.570371875321</v>
      </c>
      <c r="AD64" s="340">
        <f t="shared" si="31"/>
        <v>-2629.6421108100039</v>
      </c>
      <c r="AE64" s="295">
        <f t="shared" si="31"/>
        <v>14834.959366828596</v>
      </c>
      <c r="AF64" s="295"/>
      <c r="AG64" s="290"/>
      <c r="AH64" s="7"/>
      <c r="AI64" s="7"/>
    </row>
    <row r="65" spans="18:35" x14ac:dyDescent="0.3">
      <c r="R65" s="7"/>
      <c r="S65" s="367"/>
      <c r="T65" s="368"/>
      <c r="U65" s="368"/>
      <c r="V65" s="368"/>
      <c r="W65" s="368"/>
      <c r="X65" s="368"/>
      <c r="Y65" s="368"/>
      <c r="Z65" s="368"/>
      <c r="AA65" s="368"/>
      <c r="AB65" s="368"/>
      <c r="AC65" s="368"/>
      <c r="AD65" s="368"/>
      <c r="AE65" s="368"/>
      <c r="AF65" s="368"/>
      <c r="AG65" s="369"/>
      <c r="AH65" s="7"/>
      <c r="AI65" s="7"/>
    </row>
    <row r="66" spans="18:35" x14ac:dyDescent="0.3">
      <c r="R66" s="7"/>
      <c r="S66" s="7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370"/>
      <c r="AH66" s="7"/>
      <c r="AI66" s="7"/>
    </row>
    <row r="67" spans="18:35" x14ac:dyDescent="0.3">
      <c r="R67" s="7"/>
      <c r="S67" s="371" t="s">
        <v>256</v>
      </c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370"/>
      <c r="AH67" s="7"/>
      <c r="AI67" s="7"/>
    </row>
    <row r="68" spans="18:35" x14ac:dyDescent="0.3">
      <c r="R68" s="7"/>
      <c r="S68" s="7" t="s">
        <v>257</v>
      </c>
      <c r="T68" s="199">
        <v>3</v>
      </c>
      <c r="U68" s="199">
        <v>2</v>
      </c>
      <c r="V68" s="199">
        <v>2</v>
      </c>
      <c r="W68" s="199">
        <v>2</v>
      </c>
      <c r="X68" s="199">
        <v>2</v>
      </c>
      <c r="Y68" s="199">
        <v>2</v>
      </c>
      <c r="Z68" s="199">
        <v>3</v>
      </c>
      <c r="AA68" s="199">
        <v>2</v>
      </c>
      <c r="AB68" s="199">
        <v>2</v>
      </c>
      <c r="AC68" s="199">
        <v>2</v>
      </c>
      <c r="AD68" s="199">
        <v>2</v>
      </c>
      <c r="AE68" s="199">
        <v>2</v>
      </c>
      <c r="AF68" s="199"/>
      <c r="AG68" s="370">
        <f>SUM(T68:AE68)</f>
        <v>26</v>
      </c>
      <c r="AH68" s="7"/>
      <c r="AI68" s="7"/>
    </row>
    <row r="69" spans="18:35" x14ac:dyDescent="0.3"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8:35" x14ac:dyDescent="0.3"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8:35" x14ac:dyDescent="0.3"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8:35" x14ac:dyDescent="0.3"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8:35" x14ac:dyDescent="0.3"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8:35" x14ac:dyDescent="0.3"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8:35" x14ac:dyDescent="0.3"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8:35" x14ac:dyDescent="0.3"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8:35" x14ac:dyDescent="0.3"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8:35" x14ac:dyDescent="0.3"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8:35" x14ac:dyDescent="0.3"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8:35" x14ac:dyDescent="0.3"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</sheetData>
  <mergeCells count="3">
    <mergeCell ref="S1:AG1"/>
    <mergeCell ref="S2:AG2"/>
    <mergeCell ref="S3:AG3"/>
  </mergeCells>
  <hyperlinks>
    <hyperlink ref="AI16" r:id="rId1"/>
    <hyperlink ref="AM23" r:id="rId2"/>
    <hyperlink ref="AS23" r:id="rId3"/>
    <hyperlink ref="AI26" r:id="rId4"/>
    <hyperlink ref="AI29" r:id="rId5"/>
    <hyperlink ref="AI32" r:id="rId6"/>
    <hyperlink ref="AI33" r:id="rId7"/>
    <hyperlink ref="AI42" r:id="rId8"/>
    <hyperlink ref="AI44" r:id="rId9"/>
    <hyperlink ref="AI46" r:id="rId10"/>
    <hyperlink ref="AI47" r:id="rId11"/>
  </hyperlinks>
  <pageMargins left="0.7" right="0.7" top="0.75" bottom="0.75" header="0.3" footer="0.3"/>
  <pageSetup paperSize="9" orientation="portrait" r:id="rId12"/>
  <ignoredErrors>
    <ignoredError sqref="V46:AF46 AG52 V30" formula="1"/>
  </ignoredErrors>
  <legacyDrawing r:id="rId1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="69" zoomScaleNormal="69" workbookViewId="0">
      <selection activeCell="B19" sqref="B19"/>
    </sheetView>
  </sheetViews>
  <sheetFormatPr defaultRowHeight="14.4" x14ac:dyDescent="0.3"/>
  <cols>
    <col min="2" max="2" width="15.88671875" customWidth="1"/>
    <col min="3" max="3" width="17.44140625" customWidth="1"/>
    <col min="4" max="4" width="16.6640625" customWidth="1"/>
    <col min="5" max="6" width="14.109375" customWidth="1"/>
  </cols>
  <sheetData>
    <row r="1" spans="1:7" ht="15" x14ac:dyDescent="0.25">
      <c r="A1" t="s">
        <v>264</v>
      </c>
    </row>
    <row r="2" spans="1:7" ht="15" x14ac:dyDescent="0.25">
      <c r="A2" s="301"/>
      <c r="B2" s="301" t="s">
        <v>265</v>
      </c>
      <c r="C2" s="301"/>
      <c r="D2" s="301"/>
      <c r="E2" s="301"/>
      <c r="F2" s="301"/>
      <c r="G2" s="301"/>
    </row>
    <row r="3" spans="1:7" ht="15" x14ac:dyDescent="0.25">
      <c r="A3" s="301"/>
      <c r="B3" s="301" t="s">
        <v>266</v>
      </c>
      <c r="C3" s="113">
        <v>12778</v>
      </c>
      <c r="D3" s="301"/>
      <c r="E3" s="301"/>
      <c r="F3" s="301"/>
      <c r="G3" s="301"/>
    </row>
    <row r="4" spans="1:7" ht="15" x14ac:dyDescent="0.25">
      <c r="A4" s="301"/>
      <c r="B4" s="301" t="s">
        <v>267</v>
      </c>
      <c r="C4" s="302">
        <f>D4/12</f>
        <v>5.5750000000000001E-3</v>
      </c>
      <c r="D4" s="303">
        <v>6.6900000000000001E-2</v>
      </c>
      <c r="E4" s="301" t="s">
        <v>268</v>
      </c>
      <c r="F4" s="301"/>
      <c r="G4" s="301"/>
    </row>
    <row r="5" spans="1:7" ht="15" x14ac:dyDescent="0.25">
      <c r="A5" s="301"/>
      <c r="B5" s="301" t="s">
        <v>269</v>
      </c>
      <c r="C5" s="304">
        <v>24</v>
      </c>
      <c r="D5" s="301" t="s">
        <v>270</v>
      </c>
      <c r="E5" s="301"/>
      <c r="F5" s="301"/>
      <c r="G5" s="301"/>
    </row>
    <row r="6" spans="1:7" ht="15" x14ac:dyDescent="0.25">
      <c r="A6" s="301"/>
      <c r="B6" s="301" t="s">
        <v>271</v>
      </c>
      <c r="C6" s="305">
        <f>PMT(C4,C5,C3)</f>
        <v>-570.30993358571834</v>
      </c>
      <c r="D6" s="306"/>
      <c r="E6" s="301"/>
      <c r="F6" s="301" t="s">
        <v>272</v>
      </c>
      <c r="G6" s="301"/>
    </row>
    <row r="7" spans="1:7" ht="15" x14ac:dyDescent="0.25">
      <c r="A7" s="301"/>
      <c r="B7" s="307" t="s">
        <v>273</v>
      </c>
      <c r="C7" s="307" t="s">
        <v>274</v>
      </c>
      <c r="D7" s="307" t="s">
        <v>275</v>
      </c>
      <c r="E7" s="307" t="s">
        <v>276</v>
      </c>
      <c r="F7" s="307" t="s">
        <v>277</v>
      </c>
      <c r="G7" s="301"/>
    </row>
    <row r="8" spans="1:7" ht="15" x14ac:dyDescent="0.25">
      <c r="A8" s="301">
        <v>1</v>
      </c>
      <c r="B8" s="305">
        <f>+C3</f>
        <v>12778</v>
      </c>
      <c r="C8" s="305">
        <f t="shared" ref="C8:C31" si="0">+B8*$C$4</f>
        <v>71.237350000000006</v>
      </c>
      <c r="D8" s="305">
        <f t="shared" ref="D8:D31" si="1">-$C$6-C8</f>
        <v>499.07258358571835</v>
      </c>
      <c r="E8" s="305">
        <f>IF((+B8-D8)&lt;0,0,B8-D8)</f>
        <v>12278.927416414281</v>
      </c>
      <c r="F8" s="321" t="s">
        <v>289</v>
      </c>
      <c r="G8" s="314">
        <v>2015</v>
      </c>
    </row>
    <row r="9" spans="1:7" ht="15" x14ac:dyDescent="0.25">
      <c r="A9" s="301">
        <v>2</v>
      </c>
      <c r="B9" s="305">
        <f t="shared" ref="B9:B22" si="2">+E8</f>
        <v>12278.927416414281</v>
      </c>
      <c r="C9" s="305">
        <f t="shared" si="0"/>
        <v>68.455020346509613</v>
      </c>
      <c r="D9" s="305">
        <f t="shared" si="1"/>
        <v>501.85491323920871</v>
      </c>
      <c r="E9" s="305">
        <f t="shared" ref="E9:E31" si="3">IF((+B9-D9)&lt;0,0,B9-D9)</f>
        <v>11777.072503175072</v>
      </c>
      <c r="F9" s="321" t="s">
        <v>290</v>
      </c>
      <c r="G9" s="314">
        <v>2015</v>
      </c>
    </row>
    <row r="10" spans="1:7" ht="15" x14ac:dyDescent="0.25">
      <c r="A10" s="301">
        <v>3</v>
      </c>
      <c r="B10" s="305">
        <f t="shared" si="2"/>
        <v>11777.072503175072</v>
      </c>
      <c r="C10" s="305">
        <f t="shared" si="0"/>
        <v>65.657179205201032</v>
      </c>
      <c r="D10" s="305">
        <f t="shared" si="1"/>
        <v>504.65275438051731</v>
      </c>
      <c r="E10" s="305">
        <f t="shared" si="3"/>
        <v>11272.419748794555</v>
      </c>
      <c r="F10" s="321" t="s">
        <v>291</v>
      </c>
      <c r="G10" s="314">
        <v>2015</v>
      </c>
    </row>
    <row r="11" spans="1:7" ht="15" x14ac:dyDescent="0.25">
      <c r="A11" s="301">
        <v>4</v>
      </c>
      <c r="B11" s="305">
        <f t="shared" si="2"/>
        <v>11272.419748794555</v>
      </c>
      <c r="C11" s="305">
        <f t="shared" si="0"/>
        <v>62.843740099529647</v>
      </c>
      <c r="D11" s="305">
        <f t="shared" si="1"/>
        <v>507.46619348618867</v>
      </c>
      <c r="E11" s="305">
        <f t="shared" si="3"/>
        <v>10764.953555308366</v>
      </c>
      <c r="F11" s="321" t="s">
        <v>292</v>
      </c>
      <c r="G11" s="314">
        <v>2015</v>
      </c>
    </row>
    <row r="12" spans="1:7" ht="15" x14ac:dyDescent="0.25">
      <c r="A12" s="301">
        <v>5</v>
      </c>
      <c r="B12" s="305">
        <f t="shared" si="2"/>
        <v>10764.953555308366</v>
      </c>
      <c r="C12" s="305">
        <f t="shared" si="0"/>
        <v>60.014616070844141</v>
      </c>
      <c r="D12" s="305">
        <f t="shared" si="1"/>
        <v>510.29531751487423</v>
      </c>
      <c r="E12" s="305">
        <f t="shared" si="3"/>
        <v>10254.658237793492</v>
      </c>
      <c r="F12" s="321" t="s">
        <v>293</v>
      </c>
      <c r="G12" s="314">
        <v>2015</v>
      </c>
    </row>
    <row r="13" spans="1:7" ht="15" x14ac:dyDescent="0.25">
      <c r="A13" s="301">
        <v>6</v>
      </c>
      <c r="B13" s="305">
        <f t="shared" si="2"/>
        <v>10254.658237793492</v>
      </c>
      <c r="C13" s="305">
        <f t="shared" si="0"/>
        <v>57.169719675698715</v>
      </c>
      <c r="D13" s="305">
        <f t="shared" si="1"/>
        <v>513.14021391001961</v>
      </c>
      <c r="E13" s="305">
        <f t="shared" si="3"/>
        <v>9741.5180238834728</v>
      </c>
      <c r="F13" s="321" t="s">
        <v>282</v>
      </c>
      <c r="G13" s="314">
        <v>2015</v>
      </c>
    </row>
    <row r="14" spans="1:7" ht="15" x14ac:dyDescent="0.25">
      <c r="A14" s="301">
        <v>7</v>
      </c>
      <c r="B14" s="305">
        <f t="shared" si="2"/>
        <v>9741.5180238834728</v>
      </c>
      <c r="C14" s="305">
        <f t="shared" si="0"/>
        <v>54.308962983150359</v>
      </c>
      <c r="D14" s="305">
        <f t="shared" si="1"/>
        <v>516.00097060256803</v>
      </c>
      <c r="E14" s="305">
        <f t="shared" si="3"/>
        <v>9225.5170532809043</v>
      </c>
      <c r="F14" s="321" t="s">
        <v>294</v>
      </c>
      <c r="G14" s="314">
        <v>2016</v>
      </c>
    </row>
    <row r="15" spans="1:7" ht="15" x14ac:dyDescent="0.25">
      <c r="A15" s="301">
        <v>8</v>
      </c>
      <c r="B15" s="305">
        <f t="shared" si="2"/>
        <v>9225.5170532809043</v>
      </c>
      <c r="C15" s="305">
        <f t="shared" si="0"/>
        <v>51.432257572041046</v>
      </c>
      <c r="D15" s="305">
        <f t="shared" si="1"/>
        <v>518.87767601367727</v>
      </c>
      <c r="E15" s="305">
        <f t="shared" si="3"/>
        <v>8706.6393772672272</v>
      </c>
      <c r="F15" s="321" t="s">
        <v>284</v>
      </c>
      <c r="G15" s="314">
        <v>2016</v>
      </c>
    </row>
    <row r="16" spans="1:7" ht="15" x14ac:dyDescent="0.25">
      <c r="A16" s="301">
        <v>9</v>
      </c>
      <c r="B16" s="305">
        <f t="shared" si="2"/>
        <v>8706.6393772672272</v>
      </c>
      <c r="C16" s="305">
        <f t="shared" si="0"/>
        <v>48.539514528264796</v>
      </c>
      <c r="D16" s="305">
        <f t="shared" si="1"/>
        <v>521.77041905745352</v>
      </c>
      <c r="E16" s="305">
        <f t="shared" si="3"/>
        <v>8184.8689582097741</v>
      </c>
      <c r="F16" s="321" t="s">
        <v>285</v>
      </c>
      <c r="G16" s="314">
        <v>2016</v>
      </c>
    </row>
    <row r="17" spans="1:7" ht="15" x14ac:dyDescent="0.25">
      <c r="A17" s="301">
        <v>10</v>
      </c>
      <c r="B17" s="305">
        <f t="shared" si="2"/>
        <v>8184.8689582097741</v>
      </c>
      <c r="C17" s="305">
        <f t="shared" si="0"/>
        <v>45.630644442019488</v>
      </c>
      <c r="D17" s="305">
        <f t="shared" si="1"/>
        <v>524.67928914369884</v>
      </c>
      <c r="E17" s="305">
        <f t="shared" si="3"/>
        <v>7660.1896690660751</v>
      </c>
      <c r="F17" s="321" t="s">
        <v>286</v>
      </c>
      <c r="G17" s="314">
        <v>2016</v>
      </c>
    </row>
    <row r="18" spans="1:7" ht="15" x14ac:dyDescent="0.25">
      <c r="A18" s="301">
        <v>11</v>
      </c>
      <c r="B18" s="305">
        <f t="shared" si="2"/>
        <v>7660.1896690660751</v>
      </c>
      <c r="C18" s="305">
        <f t="shared" si="0"/>
        <v>42.705557405043372</v>
      </c>
      <c r="D18" s="305">
        <f t="shared" si="1"/>
        <v>527.60437618067499</v>
      </c>
      <c r="E18" s="305">
        <f t="shared" si="3"/>
        <v>7132.5852928854001</v>
      </c>
      <c r="F18" s="321" t="s">
        <v>287</v>
      </c>
      <c r="G18" s="314">
        <v>2016</v>
      </c>
    </row>
    <row r="19" spans="1:7" ht="15" x14ac:dyDescent="0.25">
      <c r="A19" s="301">
        <v>12</v>
      </c>
      <c r="B19" s="305">
        <f t="shared" si="2"/>
        <v>7132.5852928854001</v>
      </c>
      <c r="C19" s="305">
        <f t="shared" si="0"/>
        <v>39.764163007836103</v>
      </c>
      <c r="D19" s="305">
        <f t="shared" si="1"/>
        <v>530.54577057788219</v>
      </c>
      <c r="E19" s="305">
        <f t="shared" si="3"/>
        <v>6602.0395223075175</v>
      </c>
      <c r="F19" s="321" t="s">
        <v>288</v>
      </c>
      <c r="G19" s="314">
        <v>2016</v>
      </c>
    </row>
    <row r="20" spans="1:7" ht="15" x14ac:dyDescent="0.25">
      <c r="A20" s="301">
        <v>13</v>
      </c>
      <c r="B20" s="305">
        <f t="shared" si="2"/>
        <v>6602.0395223075175</v>
      </c>
      <c r="C20" s="305">
        <f t="shared" si="0"/>
        <v>36.806370336864411</v>
      </c>
      <c r="D20" s="305">
        <f t="shared" si="1"/>
        <v>533.50356324885388</v>
      </c>
      <c r="E20" s="305">
        <f t="shared" si="3"/>
        <v>6068.5359590586631</v>
      </c>
      <c r="F20" s="321" t="s">
        <v>289</v>
      </c>
      <c r="G20" s="314">
        <v>2016</v>
      </c>
    </row>
    <row r="21" spans="1:7" ht="15" x14ac:dyDescent="0.25">
      <c r="A21" s="301">
        <v>14</v>
      </c>
      <c r="B21" s="305">
        <f t="shared" si="2"/>
        <v>6068.5359590586631</v>
      </c>
      <c r="C21" s="305">
        <f t="shared" si="0"/>
        <v>33.832087971752046</v>
      </c>
      <c r="D21" s="305">
        <f t="shared" si="1"/>
        <v>536.47784561396634</v>
      </c>
      <c r="E21" s="305">
        <f t="shared" si="3"/>
        <v>5532.0581134446966</v>
      </c>
      <c r="F21" s="321" t="s">
        <v>290</v>
      </c>
      <c r="G21" s="314">
        <v>2016</v>
      </c>
    </row>
    <row r="22" spans="1:7" ht="15" x14ac:dyDescent="0.25">
      <c r="A22" s="301">
        <v>15</v>
      </c>
      <c r="B22" s="305">
        <f t="shared" si="2"/>
        <v>5532.0581134446966</v>
      </c>
      <c r="C22" s="305">
        <f t="shared" si="0"/>
        <v>30.841223982454185</v>
      </c>
      <c r="D22" s="305">
        <f t="shared" si="1"/>
        <v>539.46870960326419</v>
      </c>
      <c r="E22" s="305">
        <f t="shared" si="3"/>
        <v>4992.5894038414326</v>
      </c>
      <c r="F22" s="321" t="s">
        <v>291</v>
      </c>
      <c r="G22" s="314">
        <v>2016</v>
      </c>
    </row>
    <row r="23" spans="1:7" ht="15" x14ac:dyDescent="0.25">
      <c r="A23" s="301">
        <v>16</v>
      </c>
      <c r="B23" s="305">
        <f t="shared" ref="B23:B31" si="4">E22</f>
        <v>4992.5894038414326</v>
      </c>
      <c r="C23" s="308">
        <f t="shared" si="0"/>
        <v>27.833685926415988</v>
      </c>
      <c r="D23" s="309">
        <f t="shared" si="1"/>
        <v>542.47624765930232</v>
      </c>
      <c r="E23" s="308">
        <f t="shared" si="3"/>
        <v>4450.1131561821303</v>
      </c>
      <c r="F23" s="321" t="s">
        <v>292</v>
      </c>
      <c r="G23" s="314">
        <v>2016</v>
      </c>
    </row>
    <row r="24" spans="1:7" ht="15" x14ac:dyDescent="0.25">
      <c r="A24" s="301">
        <v>17</v>
      </c>
      <c r="B24" s="305">
        <f t="shared" si="4"/>
        <v>4450.1131561821303</v>
      </c>
      <c r="C24" s="308">
        <f t="shared" si="0"/>
        <v>24.809380845715378</v>
      </c>
      <c r="D24" s="309">
        <f t="shared" si="1"/>
        <v>545.50055274000295</v>
      </c>
      <c r="E24" s="308">
        <f t="shared" si="3"/>
        <v>3904.6126034421272</v>
      </c>
      <c r="F24" s="321" t="s">
        <v>293</v>
      </c>
      <c r="G24" s="314">
        <v>2016</v>
      </c>
    </row>
    <row r="25" spans="1:7" x14ac:dyDescent="0.35">
      <c r="A25" s="301">
        <v>18</v>
      </c>
      <c r="B25" s="305">
        <f t="shared" si="4"/>
        <v>3904.6126034421272</v>
      </c>
      <c r="C25" s="308">
        <f t="shared" si="0"/>
        <v>21.768215264189859</v>
      </c>
      <c r="D25" s="309">
        <f t="shared" si="1"/>
        <v>548.54171832152849</v>
      </c>
      <c r="E25" s="308">
        <f t="shared" si="3"/>
        <v>3356.0708851205986</v>
      </c>
      <c r="F25" s="321" t="s">
        <v>282</v>
      </c>
      <c r="G25" s="314">
        <v>2016</v>
      </c>
    </row>
    <row r="26" spans="1:7" x14ac:dyDescent="0.35">
      <c r="A26" s="301">
        <v>19</v>
      </c>
      <c r="B26" s="305">
        <f t="shared" si="4"/>
        <v>3356.0708851205986</v>
      </c>
      <c r="C26" s="308">
        <f t="shared" si="0"/>
        <v>18.710095184547338</v>
      </c>
      <c r="D26" s="309">
        <f t="shared" si="1"/>
        <v>551.59983840117104</v>
      </c>
      <c r="E26" s="308">
        <f t="shared" si="3"/>
        <v>2804.4710467194277</v>
      </c>
      <c r="F26" s="324" t="s">
        <v>283</v>
      </c>
      <c r="G26" s="314">
        <v>2017</v>
      </c>
    </row>
    <row r="27" spans="1:7" x14ac:dyDescent="0.35">
      <c r="A27" s="301">
        <v>20</v>
      </c>
      <c r="B27" s="305">
        <f t="shared" si="4"/>
        <v>2804.4710467194277</v>
      </c>
      <c r="C27" s="308">
        <f t="shared" si="0"/>
        <v>15.63492608546081</v>
      </c>
      <c r="D27" s="309">
        <f t="shared" si="1"/>
        <v>554.67500750025749</v>
      </c>
      <c r="E27" s="308">
        <f t="shared" si="3"/>
        <v>2249.7960392191703</v>
      </c>
      <c r="F27" s="324" t="s">
        <v>284</v>
      </c>
      <c r="G27" s="314">
        <v>2017</v>
      </c>
    </row>
    <row r="28" spans="1:7" x14ac:dyDescent="0.35">
      <c r="A28" s="301">
        <v>21</v>
      </c>
      <c r="B28" s="305">
        <f t="shared" si="4"/>
        <v>2249.7960392191703</v>
      </c>
      <c r="C28" s="308">
        <f t="shared" si="0"/>
        <v>12.542612918646874</v>
      </c>
      <c r="D28" s="309">
        <f t="shared" si="1"/>
        <v>557.76732066707143</v>
      </c>
      <c r="E28" s="308">
        <f t="shared" si="3"/>
        <v>1692.0287185520988</v>
      </c>
      <c r="F28" s="324" t="s">
        <v>340</v>
      </c>
      <c r="G28" s="314">
        <v>2017</v>
      </c>
    </row>
    <row r="29" spans="1:7" x14ac:dyDescent="0.35">
      <c r="A29" s="301">
        <v>22</v>
      </c>
      <c r="B29" s="305">
        <f t="shared" si="4"/>
        <v>1692.0287185520988</v>
      </c>
      <c r="C29" s="308">
        <f t="shared" si="0"/>
        <v>9.4330601059279502</v>
      </c>
      <c r="D29" s="309">
        <f t="shared" si="1"/>
        <v>560.87687347979045</v>
      </c>
      <c r="E29" s="308">
        <f t="shared" si="3"/>
        <v>1131.1518450723083</v>
      </c>
      <c r="F29" s="324" t="s">
        <v>341</v>
      </c>
      <c r="G29" s="314">
        <v>2017</v>
      </c>
    </row>
    <row r="30" spans="1:7" x14ac:dyDescent="0.35">
      <c r="A30" s="301">
        <v>23</v>
      </c>
      <c r="B30" s="305">
        <f t="shared" si="4"/>
        <v>1131.1518450723083</v>
      </c>
      <c r="C30" s="308">
        <f t="shared" si="0"/>
        <v>6.3061715362781188</v>
      </c>
      <c r="D30" s="309">
        <f t="shared" si="1"/>
        <v>564.00376204944018</v>
      </c>
      <c r="E30" s="308">
        <f t="shared" si="3"/>
        <v>567.14808302286815</v>
      </c>
      <c r="F30" s="321" t="s">
        <v>287</v>
      </c>
      <c r="G30" s="314">
        <v>2017</v>
      </c>
    </row>
    <row r="31" spans="1:7" x14ac:dyDescent="0.35">
      <c r="A31" s="301">
        <v>24</v>
      </c>
      <c r="B31" s="305">
        <f t="shared" si="4"/>
        <v>567.14808302286815</v>
      </c>
      <c r="C31" s="308">
        <f t="shared" si="0"/>
        <v>3.1618505628524898</v>
      </c>
      <c r="D31" s="309">
        <f t="shared" si="1"/>
        <v>567.14808302286588</v>
      </c>
      <c r="E31" s="308">
        <f t="shared" si="3"/>
        <v>2.2737367544323206E-12</v>
      </c>
      <c r="F31" s="321" t="s">
        <v>288</v>
      </c>
      <c r="G31" s="314">
        <v>2017</v>
      </c>
    </row>
    <row r="32" spans="1:7" x14ac:dyDescent="0.35">
      <c r="C32" s="310">
        <f>SUM(C8:C31)</f>
        <v>909.43840605724381</v>
      </c>
      <c r="D32" s="311">
        <f>SUM(D8:D31)</f>
        <v>12777.999999999998</v>
      </c>
      <c r="F32" s="321"/>
      <c r="G32" s="314"/>
    </row>
    <row r="33" spans="3:7" x14ac:dyDescent="0.35">
      <c r="C33" s="312" t="s">
        <v>278</v>
      </c>
      <c r="D33" s="313" t="s">
        <v>279</v>
      </c>
      <c r="F33" s="321"/>
      <c r="G33" s="314"/>
    </row>
    <row r="34" spans="3:7" x14ac:dyDescent="0.35">
      <c r="F34" s="321"/>
      <c r="G34" s="314"/>
    </row>
    <row r="35" spans="3:7" x14ac:dyDescent="0.3">
      <c r="F35" s="321"/>
      <c r="G35" s="314"/>
    </row>
    <row r="36" spans="3:7" x14ac:dyDescent="0.3">
      <c r="F36" s="321"/>
      <c r="G36" s="314"/>
    </row>
    <row r="37" spans="3:7" x14ac:dyDescent="0.3">
      <c r="F37" s="321"/>
      <c r="G37" s="314"/>
    </row>
    <row r="38" spans="3:7" x14ac:dyDescent="0.3">
      <c r="F38" s="324"/>
      <c r="G38" s="314"/>
    </row>
    <row r="39" spans="3:7" x14ac:dyDescent="0.3">
      <c r="F39" s="324"/>
      <c r="G39" s="314"/>
    </row>
    <row r="40" spans="3:7" x14ac:dyDescent="0.3">
      <c r="F40" s="324"/>
      <c r="G40" s="314"/>
    </row>
    <row r="41" spans="3:7" x14ac:dyDescent="0.3">
      <c r="F41" s="324"/>
      <c r="G41" s="314"/>
    </row>
    <row r="42" spans="3:7" x14ac:dyDescent="0.3">
      <c r="F42" s="324"/>
      <c r="G42" s="314"/>
    </row>
    <row r="43" spans="3:7" x14ac:dyDescent="0.3">
      <c r="F43" s="324"/>
      <c r="G43" s="314"/>
    </row>
    <row r="44" spans="3:7" x14ac:dyDescent="0.3">
      <c r="F44" s="324"/>
      <c r="G44" s="314"/>
    </row>
    <row r="45" spans="3:7" x14ac:dyDescent="0.3">
      <c r="F45" s="324"/>
      <c r="G45" s="314"/>
    </row>
    <row r="46" spans="3:7" x14ac:dyDescent="0.3">
      <c r="F46" s="324"/>
      <c r="G46" s="314"/>
    </row>
    <row r="47" spans="3:7" x14ac:dyDescent="0.3">
      <c r="F47" s="324"/>
      <c r="G47" s="314"/>
    </row>
    <row r="48" spans="3:7" x14ac:dyDescent="0.3">
      <c r="F48" s="324"/>
      <c r="G48" s="314"/>
    </row>
    <row r="49" spans="6:7" x14ac:dyDescent="0.3">
      <c r="F49" s="324"/>
      <c r="G49" s="314"/>
    </row>
    <row r="50" spans="6:7" x14ac:dyDescent="0.3">
      <c r="F50" s="324"/>
      <c r="G50" s="314"/>
    </row>
    <row r="51" spans="6:7" x14ac:dyDescent="0.3">
      <c r="F51" s="324"/>
      <c r="G51" s="314"/>
    </row>
    <row r="52" spans="6:7" x14ac:dyDescent="0.3">
      <c r="F52" s="324"/>
      <c r="G52" s="314"/>
    </row>
    <row r="53" spans="6:7" x14ac:dyDescent="0.3">
      <c r="F53" s="324"/>
      <c r="G53" s="314"/>
    </row>
    <row r="54" spans="6:7" x14ac:dyDescent="0.3">
      <c r="F54" s="324"/>
      <c r="G54" s="314"/>
    </row>
    <row r="55" spans="6:7" x14ac:dyDescent="0.3">
      <c r="F55" s="324"/>
      <c r="G55" s="3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Stat Fin Position</vt:lpstr>
      <vt:lpstr>Income Statement</vt:lpstr>
      <vt:lpstr>Cost of Goods Sold (COGS)</vt:lpstr>
      <vt:lpstr>Transaction Report</vt:lpstr>
      <vt:lpstr>Service Report</vt:lpstr>
      <vt:lpstr>Client Retention Analysis</vt:lpstr>
      <vt:lpstr>Status Quo budget@17aug15errors</vt:lpstr>
      <vt:lpstr>Status Quo budget FIXED 9sep15</vt:lpstr>
      <vt:lpstr>Loan calculator(Animal Trailer)</vt:lpstr>
      <vt:lpstr>Loan calculator (Motor vehicle)</vt:lpstr>
      <vt:lpstr>Loan calculator (Equipment)</vt:lpstr>
      <vt:lpstr>Test CFB 1</vt:lpstr>
      <vt:lpstr>Test CFB 2</vt:lpstr>
      <vt:lpstr>Test CFB 3-clients paying</vt:lpstr>
      <vt:lpstr>Sheet1</vt:lpstr>
    </vt:vector>
  </TitlesOfParts>
  <Company>The University of Adelaide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a1216407</dc:creator>
  <cp:lastModifiedBy>Adele Mander Feakes</cp:lastModifiedBy>
  <cp:lastPrinted>2013-11-17T22:43:03Z</cp:lastPrinted>
  <dcterms:created xsi:type="dcterms:W3CDTF">2012-03-25T03:37:24Z</dcterms:created>
  <dcterms:modified xsi:type="dcterms:W3CDTF">2015-09-09T12:47:48Z</dcterms:modified>
</cp:coreProperties>
</file>