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20xy-xz CashFlowBudget" sheetId="1" r:id="rId1"/>
    <sheet name="20xy-xzForecastReceiptsSchedule" sheetId="6" r:id="rId2"/>
    <sheet name="loan calculator Mercedes van" sheetId="4" r:id="rId3"/>
    <sheet name="loan calculator equipment" sheetId="5" r:id="rId4"/>
    <sheet name="Sheet1" sheetId="7" r:id="rId5"/>
  </sheets>
  <calcPr calcId="162913"/>
</workbook>
</file>

<file path=xl/calcChain.xml><?xml version="1.0" encoding="utf-8"?>
<calcChain xmlns="http://schemas.openxmlformats.org/spreadsheetml/2006/main">
  <c r="E14" i="1" l="1"/>
  <c r="B20" i="1" l="1"/>
  <c r="C11" i="6" l="1"/>
  <c r="O53" i="1" l="1"/>
  <c r="P44" i="1"/>
  <c r="P38" i="1"/>
  <c r="O36" i="1" l="1"/>
  <c r="O35" i="1"/>
  <c r="O34" i="1"/>
  <c r="O33" i="1"/>
  <c r="O32" i="1"/>
  <c r="O31" i="1"/>
  <c r="O56" i="1"/>
  <c r="O22" i="1"/>
  <c r="O21" i="1"/>
  <c r="O20" i="1"/>
  <c r="O18" i="1"/>
  <c r="O19" i="1"/>
  <c r="O54" i="1" l="1"/>
  <c r="O16" i="1"/>
  <c r="N41" i="1"/>
  <c r="N40" i="1"/>
  <c r="N39" i="1"/>
  <c r="N44" i="1"/>
  <c r="N38" i="1"/>
  <c r="N56" i="1"/>
  <c r="N53" i="1"/>
  <c r="N22" i="1"/>
  <c r="N18" i="1"/>
  <c r="N55" i="1"/>
  <c r="N27" i="1"/>
  <c r="N25" i="1"/>
  <c r="O55" i="1"/>
  <c r="O52" i="1"/>
  <c r="O51" i="1"/>
  <c r="O50" i="1"/>
  <c r="O49" i="1"/>
  <c r="O43" i="1"/>
  <c r="O48" i="1"/>
  <c r="O47" i="1"/>
  <c r="O46" i="1"/>
  <c r="O45" i="1"/>
  <c r="J45" i="1" s="1"/>
  <c r="O29" i="1"/>
  <c r="O28" i="1"/>
  <c r="O27" i="1"/>
  <c r="O26" i="1"/>
  <c r="O25" i="1"/>
  <c r="O24" i="1"/>
  <c r="O23" i="1"/>
  <c r="B43" i="1" l="1"/>
  <c r="F43" i="1"/>
  <c r="K43" i="1"/>
  <c r="C43" i="1"/>
  <c r="G43" i="1"/>
  <c r="L43" i="1"/>
  <c r="D43" i="1"/>
  <c r="H43" i="1"/>
  <c r="M43" i="1"/>
  <c r="I43" i="1"/>
  <c r="E43" i="1"/>
  <c r="J43" i="1"/>
  <c r="D45" i="1"/>
  <c r="L45" i="1"/>
  <c r="I45" i="1"/>
  <c r="C45" i="1"/>
  <c r="G45" i="1"/>
  <c r="K45" i="1"/>
  <c r="H45" i="1"/>
  <c r="E45" i="1"/>
  <c r="M45" i="1"/>
  <c r="B45" i="1"/>
  <c r="F45" i="1"/>
  <c r="N45" i="1" l="1"/>
  <c r="Q28" i="1" l="1"/>
  <c r="B14" i="1" l="1"/>
  <c r="O9" i="6" l="1"/>
  <c r="C10" i="6" l="1"/>
  <c r="C14" i="6" l="1"/>
  <c r="B11" i="1" s="1"/>
  <c r="D8" i="6"/>
  <c r="B8" i="5"/>
  <c r="C4" i="5"/>
  <c r="B8" i="4"/>
  <c r="C4" i="4"/>
  <c r="C6" i="4" s="1"/>
  <c r="B36" i="1"/>
  <c r="C36" i="1"/>
  <c r="D36" i="1"/>
  <c r="E36" i="1"/>
  <c r="F36" i="1"/>
  <c r="G36" i="1"/>
  <c r="H36" i="1"/>
  <c r="I36" i="1"/>
  <c r="J36" i="1"/>
  <c r="K36" i="1"/>
  <c r="L36" i="1"/>
  <c r="M36" i="1"/>
  <c r="D10" i="6" l="1"/>
  <c r="D11" i="6"/>
  <c r="D14" i="6" s="1"/>
  <c r="C11" i="1" s="1"/>
  <c r="N36" i="1"/>
  <c r="E8" i="6"/>
  <c r="C12" i="6"/>
  <c r="C8" i="5"/>
  <c r="C6" i="5"/>
  <c r="C8" i="4"/>
  <c r="E10" i="6" l="1"/>
  <c r="E11" i="6"/>
  <c r="E14" i="6" s="1"/>
  <c r="D11" i="1" s="1"/>
  <c r="F8" i="6"/>
  <c r="D12" i="6"/>
  <c r="D8" i="5"/>
  <c r="D8" i="4"/>
  <c r="F10" i="6" l="1"/>
  <c r="F11" i="6"/>
  <c r="F14" i="6" s="1"/>
  <c r="E11" i="1" s="1"/>
  <c r="E12" i="6"/>
  <c r="G8" i="6"/>
  <c r="G11" i="6" s="1"/>
  <c r="E8" i="5"/>
  <c r="B9" i="5" s="1"/>
  <c r="E8" i="4"/>
  <c r="B9" i="4" s="1"/>
  <c r="F12" i="6" l="1"/>
  <c r="H8" i="6"/>
  <c r="G14" i="6"/>
  <c r="F11" i="1" s="1"/>
  <c r="G10" i="6"/>
  <c r="C9" i="5"/>
  <c r="C9" i="4"/>
  <c r="H10" i="6" l="1"/>
  <c r="H11" i="6"/>
  <c r="H14" i="6" s="1"/>
  <c r="G11" i="1" s="1"/>
  <c r="G12" i="6"/>
  <c r="I8" i="6"/>
  <c r="D9" i="5"/>
  <c r="D9" i="4"/>
  <c r="I10" i="6" l="1"/>
  <c r="I11" i="6"/>
  <c r="I14" i="6" s="1"/>
  <c r="H11" i="1" s="1"/>
  <c r="H12" i="6"/>
  <c r="J8" i="6"/>
  <c r="J11" i="6" s="1"/>
  <c r="E9" i="5"/>
  <c r="B10" i="5" s="1"/>
  <c r="E9" i="4"/>
  <c r="B10" i="4" s="1"/>
  <c r="I12" i="6" l="1"/>
  <c r="K8" i="6"/>
  <c r="J14" i="6"/>
  <c r="I11" i="1" s="1"/>
  <c r="J10" i="6"/>
  <c r="C10" i="5"/>
  <c r="C10" i="4"/>
  <c r="K10" i="6" l="1"/>
  <c r="K11" i="6"/>
  <c r="K14" i="6" s="1"/>
  <c r="J11" i="1" s="1"/>
  <c r="L8" i="6"/>
  <c r="J12" i="6"/>
  <c r="D10" i="5"/>
  <c r="D10" i="4"/>
  <c r="L10" i="6" l="1"/>
  <c r="L11" i="6"/>
  <c r="L14" i="6" s="1"/>
  <c r="K11" i="1" s="1"/>
  <c r="K12" i="6"/>
  <c r="M8" i="6"/>
  <c r="E10" i="5"/>
  <c r="B11" i="5" s="1"/>
  <c r="E10" i="4"/>
  <c r="B11" i="4" s="1"/>
  <c r="M10" i="6" l="1"/>
  <c r="M11" i="6"/>
  <c r="M14" i="6" s="1"/>
  <c r="L11" i="1" s="1"/>
  <c r="L12" i="6"/>
  <c r="N8" i="6"/>
  <c r="N11" i="6" s="1"/>
  <c r="C11" i="5"/>
  <c r="C11" i="4"/>
  <c r="N10" i="6" l="1"/>
  <c r="N12" i="6" s="1"/>
  <c r="M12" i="6"/>
  <c r="N14" i="6"/>
  <c r="O11" i="6"/>
  <c r="D11" i="5"/>
  <c r="D11" i="4"/>
  <c r="O14" i="6" l="1"/>
  <c r="O11" i="1" s="1"/>
  <c r="M11" i="1"/>
  <c r="N11" i="1" s="1"/>
  <c r="E11" i="5"/>
  <c r="B12" i="5" s="1"/>
  <c r="E11" i="4"/>
  <c r="B12" i="4" s="1"/>
  <c r="C12" i="5" l="1"/>
  <c r="D12" i="5" s="1"/>
  <c r="E12" i="5" s="1"/>
  <c r="B13" i="5" s="1"/>
  <c r="C12" i="4"/>
  <c r="D12" i="4" s="1"/>
  <c r="C13" i="5" l="1"/>
  <c r="D13" i="5" s="1"/>
  <c r="E13" i="5" s="1"/>
  <c r="B14" i="5" s="1"/>
  <c r="E12" i="4"/>
  <c r="B13" i="4" s="1"/>
  <c r="C14" i="5" l="1"/>
  <c r="D14" i="5" s="1"/>
  <c r="E14" i="5" s="1"/>
  <c r="B15" i="5" s="1"/>
  <c r="C13" i="4"/>
  <c r="D13" i="4" s="1"/>
  <c r="E13" i="4" s="1"/>
  <c r="B14" i="4" s="1"/>
  <c r="C15" i="5" l="1"/>
  <c r="D15" i="5" s="1"/>
  <c r="E15" i="5" s="1"/>
  <c r="B16" i="5" s="1"/>
  <c r="C14" i="4"/>
  <c r="D14" i="4" s="1"/>
  <c r="E14" i="4" s="1"/>
  <c r="B15" i="4" s="1"/>
  <c r="C16" i="5" l="1"/>
  <c r="D16" i="5" s="1"/>
  <c r="E16" i="5"/>
  <c r="B17" i="5" s="1"/>
  <c r="C15" i="4"/>
  <c r="D15" i="4" s="1"/>
  <c r="E15" i="4" s="1"/>
  <c r="B16" i="4" s="1"/>
  <c r="C17" i="5" l="1"/>
  <c r="D17" i="5" s="1"/>
  <c r="E17" i="5" s="1"/>
  <c r="B18" i="5" s="1"/>
  <c r="C16" i="4"/>
  <c r="D16" i="4" s="1"/>
  <c r="E16" i="4" s="1"/>
  <c r="B17" i="4" s="1"/>
  <c r="C18" i="5" l="1"/>
  <c r="D18" i="5" s="1"/>
  <c r="E18" i="5" s="1"/>
  <c r="B19" i="5" s="1"/>
  <c r="C17" i="4"/>
  <c r="D17" i="4" s="1"/>
  <c r="E17" i="4" s="1"/>
  <c r="B18" i="4" s="1"/>
  <c r="C19" i="5" l="1"/>
  <c r="D19" i="5" s="1"/>
  <c r="E19" i="5" s="1"/>
  <c r="B20" i="5" s="1"/>
  <c r="C18" i="4"/>
  <c r="D18" i="4" s="1"/>
  <c r="E18" i="4" s="1"/>
  <c r="B19" i="4" s="1"/>
  <c r="C20" i="5" l="1"/>
  <c r="D20" i="5" s="1"/>
  <c r="E20" i="5"/>
  <c r="B21" i="5" s="1"/>
  <c r="C19" i="4"/>
  <c r="D19" i="4" s="1"/>
  <c r="E19" i="4" s="1"/>
  <c r="B20" i="4" s="1"/>
  <c r="C21" i="5" l="1"/>
  <c r="D21" i="5" s="1"/>
  <c r="E21" i="5" s="1"/>
  <c r="B22" i="5" s="1"/>
  <c r="C20" i="4"/>
  <c r="D20" i="4" s="1"/>
  <c r="E20" i="4" s="1"/>
  <c r="B21" i="4" s="1"/>
  <c r="C22" i="5" l="1"/>
  <c r="D22" i="5" s="1"/>
  <c r="E22" i="5" s="1"/>
  <c r="B23" i="5" s="1"/>
  <c r="C21" i="4"/>
  <c r="D21" i="4" s="1"/>
  <c r="E21" i="4" s="1"/>
  <c r="B22" i="4" s="1"/>
  <c r="C23" i="5" l="1"/>
  <c r="D23" i="5" s="1"/>
  <c r="E23" i="5" s="1"/>
  <c r="B24" i="5" s="1"/>
  <c r="C22" i="4"/>
  <c r="D22" i="4" s="1"/>
  <c r="E22" i="4" s="1"/>
  <c r="B23" i="4" s="1"/>
  <c r="C24" i="5" l="1"/>
  <c r="D24" i="5" s="1"/>
  <c r="E24" i="5" s="1"/>
  <c r="B25" i="5" s="1"/>
  <c r="C23" i="4"/>
  <c r="D23" i="4" s="1"/>
  <c r="E23" i="4" s="1"/>
  <c r="B24" i="4" s="1"/>
  <c r="C25" i="5" l="1"/>
  <c r="D25" i="5" s="1"/>
  <c r="E25" i="5" s="1"/>
  <c r="B26" i="5" s="1"/>
  <c r="C24" i="4"/>
  <c r="D24" i="4" s="1"/>
  <c r="E24" i="4" s="1"/>
  <c r="B25" i="4" s="1"/>
  <c r="C26" i="5" l="1"/>
  <c r="D26" i="5" s="1"/>
  <c r="E26" i="5" s="1"/>
  <c r="B27" i="5" s="1"/>
  <c r="C25" i="4"/>
  <c r="D25" i="4" s="1"/>
  <c r="E25" i="4" s="1"/>
  <c r="B26" i="4" s="1"/>
  <c r="C27" i="5" l="1"/>
  <c r="D27" i="5" s="1"/>
  <c r="E27" i="5" s="1"/>
  <c r="B28" i="5" s="1"/>
  <c r="C26" i="4"/>
  <c r="D26" i="4" s="1"/>
  <c r="E26" i="4" s="1"/>
  <c r="B27" i="4" s="1"/>
  <c r="C28" i="5" l="1"/>
  <c r="D28" i="5" s="1"/>
  <c r="E28" i="5" s="1"/>
  <c r="B29" i="5" s="1"/>
  <c r="C27" i="4"/>
  <c r="D27" i="4" s="1"/>
  <c r="E27" i="4" s="1"/>
  <c r="B28" i="4" s="1"/>
  <c r="C29" i="5" l="1"/>
  <c r="D29" i="5" s="1"/>
  <c r="E29" i="5" s="1"/>
  <c r="B30" i="5" s="1"/>
  <c r="C28" i="4"/>
  <c r="D28" i="4" s="1"/>
  <c r="E28" i="4" s="1"/>
  <c r="B29" i="4" s="1"/>
  <c r="C30" i="5" l="1"/>
  <c r="D30" i="5" s="1"/>
  <c r="E30" i="5" s="1"/>
  <c r="B31" i="5" s="1"/>
  <c r="C29" i="4"/>
  <c r="D29" i="4" s="1"/>
  <c r="E29" i="4" s="1"/>
  <c r="B30" i="4" s="1"/>
  <c r="C31" i="5" l="1"/>
  <c r="C30" i="4"/>
  <c r="D30" i="4" s="1"/>
  <c r="E30" i="4" s="1"/>
  <c r="B31" i="4" s="1"/>
  <c r="D31" i="5" l="1"/>
  <c r="C32" i="5"/>
  <c r="C31" i="4"/>
  <c r="D31" i="4" s="1"/>
  <c r="E31" i="4" s="1"/>
  <c r="B32" i="4" s="1"/>
  <c r="D32" i="5" l="1"/>
  <c r="E31" i="5"/>
  <c r="C32" i="4"/>
  <c r="D32" i="4" s="1"/>
  <c r="E32" i="4" s="1"/>
  <c r="B33" i="4" s="1"/>
  <c r="C33" i="4" l="1"/>
  <c r="D33" i="4" s="1"/>
  <c r="E33" i="4" s="1"/>
  <c r="B34" i="4" s="1"/>
  <c r="C34" i="4" l="1"/>
  <c r="D34" i="4" s="1"/>
  <c r="E34" i="4" s="1"/>
  <c r="B35" i="4" s="1"/>
  <c r="C35" i="4" l="1"/>
  <c r="D35" i="4" s="1"/>
  <c r="E35" i="4" s="1"/>
  <c r="B36" i="4" s="1"/>
  <c r="C36" i="4" l="1"/>
  <c r="D36" i="4" s="1"/>
  <c r="E36" i="4" s="1"/>
  <c r="B37" i="4" s="1"/>
  <c r="C37" i="4" l="1"/>
  <c r="D37" i="4" s="1"/>
  <c r="E37" i="4" s="1"/>
  <c r="B38" i="4" s="1"/>
  <c r="C38" i="4" l="1"/>
  <c r="D38" i="4" s="1"/>
  <c r="E38" i="4" s="1"/>
  <c r="B39" i="4" s="1"/>
  <c r="C39" i="4" l="1"/>
  <c r="D39" i="4" s="1"/>
  <c r="E39" i="4" s="1"/>
  <c r="B40" i="4" s="1"/>
  <c r="C40" i="4" l="1"/>
  <c r="D40" i="4" s="1"/>
  <c r="E40" i="4" s="1"/>
  <c r="B41" i="4" s="1"/>
  <c r="C41" i="4" l="1"/>
  <c r="D41" i="4" s="1"/>
  <c r="E41" i="4" s="1"/>
  <c r="B42" i="4" s="1"/>
  <c r="C42" i="4" l="1"/>
  <c r="D42" i="4" s="1"/>
  <c r="E42" i="4" s="1"/>
  <c r="B43" i="4" s="1"/>
  <c r="C43" i="4" l="1"/>
  <c r="D43" i="4" s="1"/>
  <c r="E43" i="4" s="1"/>
  <c r="B44" i="4" s="1"/>
  <c r="C44" i="4" l="1"/>
  <c r="D44" i="4" s="1"/>
  <c r="E44" i="4" s="1"/>
  <c r="B45" i="4" s="1"/>
  <c r="C45" i="4" l="1"/>
  <c r="D45" i="4" s="1"/>
  <c r="E45" i="4" s="1"/>
  <c r="B46" i="4" s="1"/>
  <c r="C46" i="4" l="1"/>
  <c r="D46" i="4" s="1"/>
  <c r="E46" i="4" s="1"/>
  <c r="B47" i="4" s="1"/>
  <c r="C47" i="4" l="1"/>
  <c r="D47" i="4" s="1"/>
  <c r="E47" i="4" s="1"/>
  <c r="B48" i="4" s="1"/>
  <c r="C48" i="4" l="1"/>
  <c r="D48" i="4" s="1"/>
  <c r="E48" i="4" s="1"/>
  <c r="B49" i="4" s="1"/>
  <c r="C49" i="4" l="1"/>
  <c r="D49" i="4" s="1"/>
  <c r="E49" i="4" s="1"/>
  <c r="B50" i="4" s="1"/>
  <c r="C50" i="4" l="1"/>
  <c r="D50" i="4" s="1"/>
  <c r="E50" i="4" s="1"/>
  <c r="B51" i="4" s="1"/>
  <c r="C51" i="4" l="1"/>
  <c r="D51" i="4" s="1"/>
  <c r="E51" i="4" s="1"/>
  <c r="B52" i="4" s="1"/>
  <c r="C52" i="4" l="1"/>
  <c r="D52" i="4" s="1"/>
  <c r="E52" i="4" s="1"/>
  <c r="B53" i="4" s="1"/>
  <c r="C53" i="4" l="1"/>
  <c r="D53" i="4" s="1"/>
  <c r="E53" i="4" s="1"/>
  <c r="B54" i="4" s="1"/>
  <c r="C54" i="4" l="1"/>
  <c r="D54" i="4" s="1"/>
  <c r="E54" i="4" s="1"/>
  <c r="B55" i="4" s="1"/>
  <c r="C55" i="4" l="1"/>
  <c r="D55" i="4" l="1"/>
  <c r="C56" i="4"/>
  <c r="D56" i="4" l="1"/>
  <c r="E55" i="4"/>
  <c r="C46" i="1" l="1"/>
  <c r="D46" i="1"/>
  <c r="E46" i="1"/>
  <c r="F46" i="1"/>
  <c r="G46" i="1"/>
  <c r="H46" i="1"/>
  <c r="I46" i="1"/>
  <c r="J46" i="1"/>
  <c r="K46" i="1"/>
  <c r="L46" i="1"/>
  <c r="M46" i="1"/>
  <c r="C47" i="1"/>
  <c r="D47" i="1"/>
  <c r="E47" i="1"/>
  <c r="F47" i="1"/>
  <c r="G47" i="1"/>
  <c r="H47" i="1"/>
  <c r="I47" i="1"/>
  <c r="J47" i="1"/>
  <c r="K47" i="1"/>
  <c r="L47" i="1"/>
  <c r="M47" i="1"/>
  <c r="C49" i="1"/>
  <c r="D49" i="1"/>
  <c r="E49" i="1"/>
  <c r="F49" i="1"/>
  <c r="G49" i="1"/>
  <c r="H49" i="1"/>
  <c r="I49" i="1"/>
  <c r="J49" i="1"/>
  <c r="K49" i="1"/>
  <c r="L49" i="1"/>
  <c r="M49" i="1"/>
  <c r="C51" i="1"/>
  <c r="D51" i="1"/>
  <c r="E51" i="1"/>
  <c r="F51" i="1"/>
  <c r="G51" i="1"/>
  <c r="H51" i="1"/>
  <c r="I51" i="1"/>
  <c r="J51" i="1"/>
  <c r="K51" i="1"/>
  <c r="L51" i="1"/>
  <c r="M51" i="1"/>
  <c r="C28" i="1"/>
  <c r="D28" i="1"/>
  <c r="E28" i="1"/>
  <c r="F28" i="1"/>
  <c r="G28" i="1"/>
  <c r="H28" i="1"/>
  <c r="I28" i="1"/>
  <c r="J28" i="1"/>
  <c r="K28" i="1"/>
  <c r="L28" i="1"/>
  <c r="M28" i="1"/>
  <c r="C31" i="1"/>
  <c r="D31" i="1"/>
  <c r="E31" i="1"/>
  <c r="F31" i="1"/>
  <c r="G31" i="1"/>
  <c r="H31" i="1"/>
  <c r="I31" i="1"/>
  <c r="J31" i="1"/>
  <c r="K31" i="1"/>
  <c r="L31" i="1"/>
  <c r="M31" i="1"/>
  <c r="C32" i="1"/>
  <c r="D32" i="1"/>
  <c r="E32" i="1"/>
  <c r="F32" i="1"/>
  <c r="G32" i="1"/>
  <c r="H32" i="1"/>
  <c r="I32" i="1"/>
  <c r="J32" i="1"/>
  <c r="K32" i="1"/>
  <c r="L32" i="1"/>
  <c r="M32" i="1"/>
  <c r="C52" i="1"/>
  <c r="D52" i="1"/>
  <c r="E52" i="1"/>
  <c r="F52" i="1"/>
  <c r="G52" i="1"/>
  <c r="H52" i="1"/>
  <c r="I52" i="1"/>
  <c r="J52" i="1"/>
  <c r="K52" i="1"/>
  <c r="L52" i="1"/>
  <c r="M52" i="1"/>
  <c r="C34" i="1"/>
  <c r="D34" i="1"/>
  <c r="E34" i="1"/>
  <c r="F34" i="1"/>
  <c r="G34" i="1"/>
  <c r="H34" i="1"/>
  <c r="I34" i="1"/>
  <c r="J34" i="1"/>
  <c r="K34" i="1"/>
  <c r="L34" i="1"/>
  <c r="M34" i="1"/>
  <c r="C35" i="1"/>
  <c r="D35" i="1"/>
  <c r="E35" i="1"/>
  <c r="F35" i="1"/>
  <c r="G35" i="1"/>
  <c r="H35" i="1"/>
  <c r="I35" i="1"/>
  <c r="J35" i="1"/>
  <c r="K35" i="1"/>
  <c r="L35" i="1"/>
  <c r="M35" i="1"/>
  <c r="C48" i="1"/>
  <c r="D48" i="1"/>
  <c r="E48" i="1"/>
  <c r="F48" i="1"/>
  <c r="G48" i="1"/>
  <c r="H48" i="1"/>
  <c r="I48" i="1"/>
  <c r="J48" i="1"/>
  <c r="K48" i="1"/>
  <c r="L48" i="1"/>
  <c r="M48" i="1"/>
  <c r="C33" i="1"/>
  <c r="D33" i="1"/>
  <c r="E33" i="1"/>
  <c r="F33" i="1"/>
  <c r="G33" i="1"/>
  <c r="H33" i="1"/>
  <c r="I33" i="1"/>
  <c r="J33" i="1"/>
  <c r="K33" i="1"/>
  <c r="L33" i="1"/>
  <c r="M33" i="1"/>
  <c r="C50" i="1"/>
  <c r="D50" i="1"/>
  <c r="E50" i="1"/>
  <c r="F50" i="1"/>
  <c r="G50" i="1"/>
  <c r="H50" i="1"/>
  <c r="I50" i="1"/>
  <c r="J50" i="1"/>
  <c r="K50" i="1"/>
  <c r="L50" i="1"/>
  <c r="M50" i="1"/>
  <c r="C54" i="1"/>
  <c r="D54" i="1"/>
  <c r="E54" i="1"/>
  <c r="F54" i="1"/>
  <c r="G54" i="1"/>
  <c r="H54" i="1"/>
  <c r="I54" i="1"/>
  <c r="J54" i="1"/>
  <c r="K54" i="1"/>
  <c r="L54" i="1"/>
  <c r="M54" i="1"/>
  <c r="B46" i="1"/>
  <c r="B47" i="1"/>
  <c r="B49" i="1"/>
  <c r="B28" i="1"/>
  <c r="B31" i="1"/>
  <c r="B32" i="1"/>
  <c r="B52" i="1"/>
  <c r="B34" i="1"/>
  <c r="B35" i="1"/>
  <c r="B48" i="1"/>
  <c r="B33" i="1"/>
  <c r="B50" i="1"/>
  <c r="B54" i="1"/>
  <c r="C29" i="1"/>
  <c r="D29" i="1"/>
  <c r="E29" i="1"/>
  <c r="F29" i="1"/>
  <c r="G29" i="1"/>
  <c r="H29" i="1"/>
  <c r="I29" i="1"/>
  <c r="J29" i="1"/>
  <c r="K29" i="1"/>
  <c r="L29" i="1"/>
  <c r="M29" i="1"/>
  <c r="B29" i="1"/>
  <c r="C26" i="1"/>
  <c r="D26" i="1"/>
  <c r="E26" i="1"/>
  <c r="F26" i="1"/>
  <c r="G26" i="1"/>
  <c r="H26" i="1"/>
  <c r="I26" i="1"/>
  <c r="J26" i="1"/>
  <c r="K26" i="1"/>
  <c r="L26" i="1"/>
  <c r="M26" i="1"/>
  <c r="B26" i="1"/>
  <c r="C19" i="1"/>
  <c r="D19" i="1"/>
  <c r="E19" i="1"/>
  <c r="F19" i="1"/>
  <c r="G19" i="1"/>
  <c r="H19" i="1"/>
  <c r="I19" i="1"/>
  <c r="J19" i="1"/>
  <c r="K19" i="1"/>
  <c r="L19" i="1"/>
  <c r="M19" i="1"/>
  <c r="B19" i="1"/>
  <c r="N19" i="1" l="1"/>
  <c r="N21" i="1"/>
  <c r="N54" i="1"/>
  <c r="N20" i="1"/>
  <c r="N23" i="1"/>
  <c r="N48" i="1"/>
  <c r="N32" i="1"/>
  <c r="N43" i="1"/>
  <c r="N24" i="1"/>
  <c r="N29" i="1"/>
  <c r="N31" i="1"/>
  <c r="N28" i="1"/>
  <c r="N26" i="1"/>
  <c r="N35" i="1"/>
  <c r="N47" i="1"/>
  <c r="N50" i="1"/>
  <c r="N34" i="1"/>
  <c r="N46" i="1"/>
  <c r="N33" i="1"/>
  <c r="N52" i="1"/>
  <c r="N49" i="1"/>
  <c r="N51" i="1"/>
  <c r="L16" i="1"/>
  <c r="J16" i="1"/>
  <c r="D16" i="1"/>
  <c r="C16" i="1"/>
  <c r="G16" i="1"/>
  <c r="H14" i="1" s="1"/>
  <c r="I16" i="1"/>
  <c r="M16" i="1"/>
  <c r="K16" i="1"/>
  <c r="E16" i="1"/>
  <c r="B16" i="1"/>
  <c r="F16" i="1"/>
  <c r="H16" i="1"/>
  <c r="K14" i="1" l="1"/>
  <c r="K57" i="1" s="1"/>
  <c r="K60" i="1" s="1"/>
  <c r="Q22" i="1"/>
  <c r="H57" i="1"/>
  <c r="G57" i="1"/>
  <c r="G60" i="1" s="1"/>
  <c r="L57" i="1"/>
  <c r="L60" i="1" s="1"/>
  <c r="N16" i="1"/>
  <c r="B57" i="1"/>
  <c r="C57" i="1"/>
  <c r="C60" i="1" s="1"/>
  <c r="I57" i="1"/>
  <c r="I60" i="1" s="1"/>
  <c r="J57" i="1"/>
  <c r="J60" i="1" s="1"/>
  <c r="F57" i="1"/>
  <c r="F60" i="1" s="1"/>
  <c r="M57" i="1"/>
  <c r="M60" i="1" s="1"/>
  <c r="D57" i="1"/>
  <c r="D60" i="1" s="1"/>
  <c r="R24" i="1"/>
  <c r="R25" i="1" s="1"/>
  <c r="E57" i="1" l="1"/>
  <c r="E60" i="1" s="1"/>
  <c r="N14" i="1"/>
  <c r="O14" i="1" s="1"/>
  <c r="O57" i="1" s="1"/>
  <c r="N59" i="1"/>
  <c r="B60" i="1"/>
  <c r="H60" i="1"/>
  <c r="O63" i="1"/>
  <c r="N57" i="1" l="1"/>
  <c r="N58" i="1"/>
  <c r="B61" i="1"/>
  <c r="C8" i="1" s="1"/>
  <c r="C61" i="1" l="1"/>
  <c r="D8" i="1" s="1"/>
  <c r="D61" i="1" s="1"/>
  <c r="E8" i="1" s="1"/>
  <c r="E61" i="1" s="1"/>
  <c r="F8" i="1" s="1"/>
  <c r="F61" i="1" s="1"/>
  <c r="G8" i="1" s="1"/>
  <c r="G61" i="1" s="1"/>
  <c r="H8" i="1" s="1"/>
  <c r="H61" i="1" s="1"/>
  <c r="I8" i="1" s="1"/>
  <c r="I61" i="1" s="1"/>
  <c r="J8" i="1" s="1"/>
  <c r="J61" i="1" s="1"/>
  <c r="K8" i="1" s="1"/>
  <c r="K61" i="1" s="1"/>
  <c r="L8" i="1" s="1"/>
  <c r="L61" i="1" s="1"/>
  <c r="M8" i="1" s="1"/>
  <c r="M61" i="1" s="1"/>
</calcChain>
</file>

<file path=xl/comments1.xml><?xml version="1.0" encoding="utf-8"?>
<comments xmlns="http://schemas.openxmlformats.org/spreadsheetml/2006/main">
  <authors>
    <author>Author</author>
  </authors>
  <commentList>
    <comment ref="B8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from statement of financial position 30/6/2014
 </t>
        </r>
      </text>
    </comment>
    <comment ref="A16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info on brown items generally obtained from Income statement
</t>
        </r>
      </text>
    </comment>
    <comment ref="Q22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all wages
</t>
        </r>
      </text>
    </comment>
    <comment ref="Q28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= all non-salary staff expenses
</t>
        </r>
      </text>
    </comment>
    <comment ref="A39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from statement of financial position loan balances and use loan calculator
</t>
        </r>
      </text>
    </comment>
  </commentList>
</comments>
</file>

<file path=xl/sharedStrings.xml><?xml version="1.0" encoding="utf-8"?>
<sst xmlns="http://schemas.openxmlformats.org/spreadsheetml/2006/main" count="314" uniqueCount="158">
  <si>
    <t>Opening Cash Balance</t>
  </si>
  <si>
    <t>Assumptions</t>
  </si>
  <si>
    <t>($)</t>
  </si>
  <si>
    <t>Incoming</t>
  </si>
  <si>
    <t>Total</t>
  </si>
  <si>
    <t>Notes</t>
  </si>
  <si>
    <t>Superannuation (monthly)</t>
  </si>
  <si>
    <t>Workers Compensation Contribution</t>
  </si>
  <si>
    <t>Workers Compensation Contrib - Paid monthly</t>
  </si>
  <si>
    <t>Electricity &amp; Gas</t>
  </si>
  <si>
    <t>Travel</t>
  </si>
  <si>
    <t>Insurance - Land &amp; Buildings</t>
  </si>
  <si>
    <t>Insurance - Motor Vehicles</t>
  </si>
  <si>
    <t>Debt Collection</t>
  </si>
  <si>
    <t>Interest Paid to Bank - Overdraft</t>
  </si>
  <si>
    <t>Donations</t>
  </si>
  <si>
    <t>Freight &amp; Postage</t>
  </si>
  <si>
    <t>Total Outgoing</t>
  </si>
  <si>
    <t>Net Cash Flow for Month</t>
  </si>
  <si>
    <t>Closing Cash Balance</t>
  </si>
  <si>
    <t>Opening Balance = closing balance of previous month</t>
  </si>
  <si>
    <t>Total is payments received for the year, NOT sales made. (Includes GST)</t>
  </si>
  <si>
    <t>FORECAST CASH FLOW BUDGET</t>
  </si>
  <si>
    <t>GST paid quarterly in arrears</t>
  </si>
  <si>
    <t>Workcover, Payroll Tax &amp; Super paid monthly</t>
  </si>
  <si>
    <t>Total is purchases made in the year (incl GST), NOT cost of goods sold</t>
  </si>
  <si>
    <t xml:space="preserve">Staff Training </t>
  </si>
  <si>
    <t>Books &amp; Journals</t>
  </si>
  <si>
    <t xml:space="preserve">Vet CE </t>
  </si>
  <si>
    <t>Staff Amenities and Welfare</t>
  </si>
  <si>
    <t>Groomers Commissions</t>
  </si>
  <si>
    <t>Printing and Stationary</t>
  </si>
  <si>
    <t>Veterinary software maintenance</t>
  </si>
  <si>
    <t>AVA Membership and other dues</t>
  </si>
  <si>
    <t>Annual payment in advance</t>
  </si>
  <si>
    <t>Quarterly</t>
  </si>
  <si>
    <t>Principal &amp; Interest - Equipment Loan</t>
  </si>
  <si>
    <t>Drawings - owner</t>
  </si>
  <si>
    <t>Outgoings - operational</t>
  </si>
  <si>
    <t>GST is collected in receivables, and needs to go out after deduction of GST paid on expenses</t>
  </si>
  <si>
    <t>test</t>
  </si>
  <si>
    <t>from sources</t>
  </si>
  <si>
    <t xml:space="preserve">test </t>
  </si>
  <si>
    <t xml:space="preserve">Total </t>
  </si>
  <si>
    <t>Rent premises</t>
  </si>
  <si>
    <t>Property &amp; Equipment Repairs/Maintenance</t>
  </si>
  <si>
    <t xml:space="preserve">yellow pages negotiated to be monthly </t>
  </si>
  <si>
    <t>Cleaning &amp; Waste Disposal</t>
  </si>
  <si>
    <t>Telecommunications &amp; internet</t>
  </si>
  <si>
    <t>Bank Fees &amp; Charges</t>
  </si>
  <si>
    <t>Payout dog trailer - interest &amp; payout balance</t>
  </si>
  <si>
    <t>Principal &amp; Interest - Mercedes Van loan</t>
  </si>
  <si>
    <t>Interest Paid to Bank - credit cards</t>
  </si>
  <si>
    <t>Accounting, consulting &amp; legal fees</t>
  </si>
  <si>
    <t>Purchases - Drugs &amp; Medical Supplies, external lab</t>
  </si>
  <si>
    <t>Advertising, yellow pages, website</t>
  </si>
  <si>
    <t>Council &amp; Water rates</t>
  </si>
  <si>
    <t>locum - invoiced, no GST</t>
  </si>
  <si>
    <t>Loan Calculator Mortgage</t>
  </si>
  <si>
    <t>Loan</t>
  </si>
  <si>
    <t>Monthly Interest</t>
  </si>
  <si>
    <t>per annum</t>
  </si>
  <si>
    <t>Length</t>
  </si>
  <si>
    <t>months</t>
  </si>
  <si>
    <t>Monthly Payment</t>
  </si>
  <si>
    <t>Opening</t>
  </si>
  <si>
    <t>Int</t>
  </si>
  <si>
    <t>Prin. Repay</t>
  </si>
  <si>
    <t>Closing</t>
  </si>
  <si>
    <t>Year</t>
  </si>
  <si>
    <t>dec</t>
  </si>
  <si>
    <t>jan</t>
  </si>
  <si>
    <t>feb</t>
  </si>
  <si>
    <t xml:space="preserve">jan </t>
  </si>
  <si>
    <t>march</t>
  </si>
  <si>
    <t xml:space="preserve">nov </t>
  </si>
  <si>
    <t>Totals</t>
  </si>
  <si>
    <t>total interest</t>
  </si>
  <si>
    <t>total principal</t>
  </si>
  <si>
    <t>Monthly Principal and Interest Payments e.g. for a car over 48 months</t>
  </si>
  <si>
    <t xml:space="preserve">Wages - All employees </t>
  </si>
  <si>
    <t>Insurance - Professional Indemnity/Public Liability</t>
  </si>
  <si>
    <t>april</t>
  </si>
  <si>
    <t>may</t>
  </si>
  <si>
    <t>june</t>
  </si>
  <si>
    <t>july</t>
  </si>
  <si>
    <t>aug</t>
  </si>
  <si>
    <t>sep</t>
  </si>
  <si>
    <t>oct</t>
  </si>
  <si>
    <t>Monthly equipment loan example over 2 years</t>
  </si>
  <si>
    <t>interest rate per annum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</si>
  <si>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</si>
  <si>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</si>
  <si>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</si>
  <si>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</si>
  <si>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</si>
  <si>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</si>
  <si>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</si>
  <si>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</si>
  <si>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</si>
  <si>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</si>
  <si>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</si>
  <si>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</si>
  <si>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New computer, printer and backups</t>
  </si>
  <si>
    <r>
      <t xml:space="preserve"> </t>
    </r>
    <r>
      <rPr>
        <sz val="9"/>
        <color rgb="FF000000"/>
        <rFont val="Arial Narrow"/>
        <family val="2"/>
      </rPr>
      <t> </t>
    </r>
  </si>
  <si>
    <t xml:space="preserve">Mar </t>
  </si>
  <si>
    <t>YEAR</t>
  </si>
  <si>
    <t>Otustanding from prev month</t>
  </si>
  <si>
    <t>Total sales the month</t>
  </si>
  <si>
    <t>Total due</t>
  </si>
  <si>
    <t>Receipted</t>
  </si>
  <si>
    <t>Oustanding at end of month</t>
  </si>
  <si>
    <t>Non-operational income</t>
  </si>
  <si>
    <t>Total Receipts</t>
  </si>
  <si>
    <t>ASSUMPTIONS:</t>
  </si>
  <si>
    <t>Receipts (including GST) from receipts schedule</t>
  </si>
  <si>
    <t>30% of outstanding accounts are paid by the end of the month while 70% of outstanding accounts are still unpaid and carried into the next month's outstandings</t>
  </si>
  <si>
    <t>includes GST</t>
  </si>
  <si>
    <t>Allansville Veterinary Practice</t>
  </si>
  <si>
    <t xml:space="preserve">Incl gst </t>
  </si>
  <si>
    <t>as per inc statement Excl GST</t>
  </si>
  <si>
    <t xml:space="preserve">
</t>
  </si>
  <si>
    <t xml:space="preserve">rows and columns should "reconcile" </t>
  </si>
  <si>
    <t>start loan</t>
  </si>
  <si>
    <t>year 1 of loan</t>
  </si>
  <si>
    <t>year 2 of loan</t>
  </si>
  <si>
    <t>year 3 of loan</t>
  </si>
  <si>
    <t>year 4 of loan</t>
  </si>
  <si>
    <t>Payment</t>
  </si>
  <si>
    <t xml:space="preserve">Cost of People (CoVets and Cost of Staff) </t>
  </si>
  <si>
    <t>Insurance</t>
  </si>
  <si>
    <t>Cost of Goods purchased</t>
  </si>
  <si>
    <t>Finance</t>
  </si>
  <si>
    <t>Repairs &amp; Maintenance</t>
  </si>
  <si>
    <t>Goods and Services Tax (GST or VAT)</t>
  </si>
  <si>
    <t xml:space="preserve">Locum - PAYG </t>
  </si>
  <si>
    <t>Wages paid out of bank fortnightly on Thursdays*</t>
  </si>
  <si>
    <t xml:space="preserve">* two months of the year have extra pay period </t>
  </si>
  <si>
    <t>1st July 20xx - 30 June 20xy</t>
  </si>
  <si>
    <t>1Jul20xx</t>
  </si>
  <si>
    <t>1Aug20xx</t>
  </si>
  <si>
    <t>1Sep20xx</t>
  </si>
  <si>
    <t>1Oct20xx</t>
  </si>
  <si>
    <t>1Nov20xx</t>
  </si>
  <si>
    <t>1Dec20xx</t>
  </si>
  <si>
    <t>1Jan20xy</t>
  </si>
  <si>
    <t>1Feb20xy</t>
  </si>
  <si>
    <t>1Mar20xy</t>
  </si>
  <si>
    <t>1Apr20xy</t>
  </si>
  <si>
    <t>1May20xy</t>
  </si>
  <si>
    <t>1Jun20xy</t>
  </si>
  <si>
    <t>Desk and chair</t>
  </si>
  <si>
    <t>interest will be in Income Statement but not principal</t>
  </si>
  <si>
    <t xml:space="preserve">Superannuation paid monthly, 1 month in arrears, but $12200 outstanding from previous year paid in July </t>
  </si>
  <si>
    <t>Total of Wages Vets including O, Nurses, Admin &amp; Casual (*See Assumptions) (not including PAYG)</t>
  </si>
  <si>
    <t xml:space="preserve">Additional drawings - owner </t>
  </si>
  <si>
    <t>54% of each months sales are paid within the month (at time of service) while 45% are put on account</t>
  </si>
  <si>
    <t xml:space="preserve">Forecasted RECEIPTS SCHEDULE FOR CASH FLOW BUDGET BASED ON THE FOLLOWING ASSUMPTIONS OF CASH PAYMENTS AND ACCOUNTS ALLOWED FOR CLIENTS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</si>
</sst>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;[Black]\(#,##0\)"/>
    <numFmt numFmtId="166" formatCode="#,##0_ ;[Red]\-#,##0\ "/>
    <numFmt numFmtId="167" formatCode="&quot;$&quot;#,##0_);\(&quot;$&quot;#,##0\)"/>
    <numFmt numFmtId="168" formatCode="&quot;$&quot;#,##0.00_);[Red]\(&quot;$&quot;#,##0.00\)"/>
    <numFmt numFmtId="169" formatCode="_-&quot;$&quot;* #,##0_-;\-&quot;$&quot;* #,##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 Narrow"/>
      <family val="2"/>
    </font>
    <font>
      <b/>
      <i/>
      <sz val="9"/>
      <color rgb="FF000000"/>
      <name val="Arial Narrow"/>
      <family val="2"/>
    </font>
    <font>
      <sz val="11"/>
      <color rgb="FF00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EFB9F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40">
    <xf numFmtId="0" fontId="0" fillId="0" borderId="0" xfId="0"/>
    <xf numFmtId="164" fontId="0" fillId="0" borderId="0" xfId="1" applyNumberFormat="1" applyFont="1"/>
    <xf numFmtId="0" fontId="3" fillId="0" borderId="0" xfId="0" applyFont="1"/>
    <xf numFmtId="1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NumberFormat="1" applyFont="1"/>
    <xf numFmtId="0" fontId="0" fillId="0" borderId="4" xfId="0" applyBorder="1"/>
    <xf numFmtId="0" fontId="0" fillId="0" borderId="0" xfId="0" applyBorder="1"/>
    <xf numFmtId="0" fontId="0" fillId="0" borderId="5" xfId="0" applyBorder="1"/>
    <xf numFmtId="17" fontId="3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7" fontId="3" fillId="0" borderId="5" xfId="0" applyNumberFormat="1" applyFont="1" applyBorder="1" applyAlignment="1">
      <alignment horizontal="center"/>
    </xf>
    <xf numFmtId="164" fontId="0" fillId="0" borderId="5" xfId="1" applyNumberFormat="1" applyFont="1" applyBorder="1"/>
    <xf numFmtId="164" fontId="0" fillId="0" borderId="0" xfId="1" applyNumberFormat="1" applyFont="1" applyBorder="1"/>
    <xf numFmtId="0" fontId="3" fillId="0" borderId="4" xfId="0" applyFont="1" applyBorder="1"/>
    <xf numFmtId="164" fontId="3" fillId="0" borderId="5" xfId="1" applyNumberFormat="1" applyFont="1" applyBorder="1"/>
    <xf numFmtId="164" fontId="3" fillId="0" borderId="0" xfId="1" applyNumberFormat="1" applyFont="1" applyBorder="1"/>
    <xf numFmtId="0" fontId="3" fillId="0" borderId="6" xfId="0" applyFont="1" applyBorder="1"/>
    <xf numFmtId="164" fontId="3" fillId="0" borderId="8" xfId="1" applyNumberFormat="1" applyFont="1" applyBorder="1"/>
    <xf numFmtId="165" fontId="3" fillId="0" borderId="0" xfId="1" applyNumberFormat="1" applyFont="1" applyBorder="1"/>
    <xf numFmtId="166" fontId="0" fillId="0" borderId="0" xfId="1" applyNumberFormat="1" applyFont="1" applyBorder="1"/>
    <xf numFmtId="164" fontId="0" fillId="0" borderId="0" xfId="1" applyNumberFormat="1" applyFont="1" applyFill="1" applyBorder="1"/>
    <xf numFmtId="0" fontId="0" fillId="0" borderId="0" xfId="0" applyFill="1" applyBorder="1"/>
    <xf numFmtId="164" fontId="0" fillId="0" borderId="0" xfId="0" applyNumberFormat="1"/>
    <xf numFmtId="0" fontId="0" fillId="0" borderId="0" xfId="0" applyBorder="1" applyAlignment="1">
      <alignment horizontal="center"/>
    </xf>
    <xf numFmtId="164" fontId="0" fillId="0" borderId="0" xfId="1" applyNumberFormat="1" applyFont="1" applyFill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167" fontId="0" fillId="3" borderId="9" xfId="4" applyNumberFormat="1" applyFont="1" applyFill="1" applyBorder="1" applyProtection="1">
      <protection locked="0"/>
    </xf>
    <xf numFmtId="10" fontId="0" fillId="3" borderId="9" xfId="3" applyNumberFormat="1" applyFont="1" applyFill="1" applyBorder="1" applyProtection="1">
      <protection locked="0"/>
    </xf>
    <xf numFmtId="10" fontId="0" fillId="3" borderId="0" xfId="0" applyNumberFormat="1" applyFill="1"/>
    <xf numFmtId="0" fontId="0" fillId="3" borderId="9" xfId="0" applyFill="1" applyBorder="1" applyProtection="1">
      <protection locked="0"/>
    </xf>
    <xf numFmtId="168" fontId="0" fillId="3" borderId="0" xfId="0" applyNumberFormat="1" applyFill="1"/>
    <xf numFmtId="167" fontId="0" fillId="3" borderId="0" xfId="0" applyNumberFormat="1" applyFill="1"/>
    <xf numFmtId="168" fontId="0" fillId="3" borderId="0" xfId="0" applyNumberFormat="1" applyFill="1" applyAlignment="1">
      <alignment horizontal="center"/>
    </xf>
    <xf numFmtId="44" fontId="0" fillId="3" borderId="0" xfId="2" applyFont="1" applyFill="1"/>
    <xf numFmtId="44" fontId="0" fillId="3" borderId="0" xfId="2" applyNumberFormat="1" applyFont="1" applyFill="1"/>
    <xf numFmtId="44" fontId="0" fillId="3" borderId="0" xfId="2" applyFont="1" applyFill="1" applyAlignment="1">
      <alignment horizontal="center"/>
    </xf>
    <xf numFmtId="0" fontId="4" fillId="3" borderId="0" xfId="0" applyFont="1" applyFill="1" applyAlignment="1">
      <alignment horizontal="right"/>
    </xf>
    <xf numFmtId="168" fontId="4" fillId="3" borderId="0" xfId="0" applyNumberFormat="1" applyFont="1" applyFill="1"/>
    <xf numFmtId="168" fontId="4" fillId="3" borderId="0" xfId="2" applyNumberFormat="1" applyFont="1" applyFill="1"/>
    <xf numFmtId="44" fontId="4" fillId="3" borderId="0" xfId="2" applyFont="1" applyFill="1" applyAlignment="1">
      <alignment horizontal="center"/>
    </xf>
    <xf numFmtId="44" fontId="4" fillId="3" borderId="0" xfId="2" applyNumberFormat="1" applyFont="1" applyFill="1" applyAlignment="1">
      <alignment horizontal="center"/>
    </xf>
    <xf numFmtId="3" fontId="0" fillId="0" borderId="0" xfId="0" applyNumberFormat="1"/>
    <xf numFmtId="0" fontId="0" fillId="4" borderId="0" xfId="0" applyFill="1"/>
    <xf numFmtId="167" fontId="0" fillId="0" borderId="9" xfId="4" applyNumberFormat="1" applyFont="1" applyFill="1" applyBorder="1" applyProtection="1">
      <protection locked="0"/>
    </xf>
    <xf numFmtId="10" fontId="0" fillId="0" borderId="9" xfId="3" applyNumberFormat="1" applyFont="1" applyFill="1" applyBorder="1" applyProtection="1">
      <protection locked="0"/>
    </xf>
    <xf numFmtId="10" fontId="0" fillId="4" borderId="0" xfId="0" applyNumberFormat="1" applyFill="1"/>
    <xf numFmtId="0" fontId="0" fillId="0" borderId="9" xfId="0" applyFill="1" applyBorder="1" applyProtection="1">
      <protection locked="0"/>
    </xf>
    <xf numFmtId="168" fontId="0" fillId="4" borderId="0" xfId="0" applyNumberFormat="1" applyFill="1"/>
    <xf numFmtId="167" fontId="0" fillId="4" borderId="0" xfId="0" applyNumberFormat="1" applyFill="1"/>
    <xf numFmtId="0" fontId="0" fillId="4" borderId="0" xfId="0" applyFill="1" applyAlignment="1">
      <alignment horizontal="center"/>
    </xf>
    <xf numFmtId="44" fontId="0" fillId="4" borderId="0" xfId="2" applyFont="1" applyFill="1"/>
    <xf numFmtId="44" fontId="0" fillId="4" borderId="0" xfId="2" applyNumberFormat="1" applyFont="1" applyFill="1"/>
    <xf numFmtId="168" fontId="3" fillId="3" borderId="0" xfId="0" applyNumberFormat="1" applyFont="1" applyFill="1"/>
    <xf numFmtId="168" fontId="3" fillId="3" borderId="0" xfId="2" applyNumberFormat="1" applyFont="1" applyFill="1"/>
    <xf numFmtId="9" fontId="0" fillId="0" borderId="0" xfId="3" applyFont="1" applyBorder="1"/>
    <xf numFmtId="2" fontId="0" fillId="0" borderId="0" xfId="0" applyNumberFormat="1"/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" fontId="7" fillId="0" borderId="9" xfId="2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 wrapText="1"/>
    </xf>
    <xf numFmtId="169" fontId="8" fillId="0" borderId="9" xfId="2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6" fontId="7" fillId="0" borderId="9" xfId="0" applyNumberFormat="1" applyFont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169" fontId="8" fillId="5" borderId="9" xfId="2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 wrapText="1"/>
    </xf>
    <xf numFmtId="0" fontId="8" fillId="0" borderId="0" xfId="0" applyFont="1"/>
    <xf numFmtId="43" fontId="0" fillId="0" borderId="0" xfId="0" applyNumberFormat="1"/>
    <xf numFmtId="0" fontId="7" fillId="0" borderId="0" xfId="0" applyFont="1" applyBorder="1" applyAlignment="1">
      <alignment horizontal="center" vertical="center"/>
    </xf>
    <xf numFmtId="6" fontId="7" fillId="0" borderId="0" xfId="0" applyNumberFormat="1" applyFont="1" applyBorder="1" applyAlignment="1">
      <alignment horizontal="center" vertical="center"/>
    </xf>
    <xf numFmtId="169" fontId="8" fillId="0" borderId="0" xfId="2" applyNumberFormat="1" applyFont="1" applyBorder="1" applyAlignment="1">
      <alignment horizontal="center" vertical="center"/>
    </xf>
    <xf numFmtId="169" fontId="8" fillId="6" borderId="9" xfId="2" applyNumberFormat="1" applyFont="1" applyFill="1" applyBorder="1" applyAlignment="1">
      <alignment horizontal="center" vertical="center"/>
    </xf>
    <xf numFmtId="164" fontId="11" fillId="6" borderId="0" xfId="1" applyNumberFormat="1" applyFont="1" applyFill="1" applyBorder="1" applyAlignment="1">
      <alignment horizontal="center" vertical="center" wrapText="1"/>
    </xf>
    <xf numFmtId="164" fontId="3" fillId="6" borderId="5" xfId="1" applyNumberFormat="1" applyFont="1" applyFill="1" applyBorder="1"/>
    <xf numFmtId="0" fontId="0" fillId="0" borderId="0" xfId="0" applyBorder="1" applyAlignment="1">
      <alignment wrapText="1"/>
    </xf>
    <xf numFmtId="2" fontId="0" fillId="0" borderId="0" xfId="0" applyNumberFormat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0" borderId="0" xfId="2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169" fontId="10" fillId="0" borderId="0" xfId="2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 applyFill="1" applyBorder="1" applyAlignment="1">
      <alignment horizontal="center" vertical="center"/>
    </xf>
    <xf numFmtId="169" fontId="8" fillId="0" borderId="0" xfId="2" applyNumberFormat="1" applyFont="1" applyFill="1" applyBorder="1" applyAlignment="1">
      <alignment horizontal="center" vertical="center"/>
    </xf>
    <xf numFmtId="43" fontId="0" fillId="0" borderId="0" xfId="1" applyNumberFormat="1" applyFont="1" applyBorder="1"/>
    <xf numFmtId="6" fontId="7" fillId="6" borderId="9" xfId="0" applyNumberFormat="1" applyFont="1" applyFill="1" applyBorder="1" applyAlignment="1">
      <alignment horizontal="center" vertical="center"/>
    </xf>
    <xf numFmtId="169" fontId="8" fillId="0" borderId="9" xfId="2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6" borderId="0" xfId="1" applyNumberFormat="1" applyFont="1" applyFill="1" applyBorder="1"/>
    <xf numFmtId="164" fontId="1" fillId="0" borderId="5" xfId="1" applyNumberFormat="1" applyFont="1" applyBorder="1"/>
    <xf numFmtId="164" fontId="1" fillId="0" borderId="5" xfId="1" applyNumberFormat="1" applyFont="1" applyFill="1" applyBorder="1"/>
    <xf numFmtId="164" fontId="14" fillId="0" borderId="0" xfId="1" applyNumberFormat="1" applyFont="1" applyBorder="1"/>
    <xf numFmtId="164" fontId="15" fillId="0" borderId="0" xfId="1" applyNumberFormat="1" applyFont="1"/>
    <xf numFmtId="0" fontId="15" fillId="0" borderId="0" xfId="0" applyFont="1"/>
    <xf numFmtId="169" fontId="8" fillId="7" borderId="9" xfId="2" applyNumberFormat="1" applyFont="1" applyFill="1" applyBorder="1" applyAlignment="1">
      <alignment horizontal="center" vertical="center"/>
    </xf>
    <xf numFmtId="169" fontId="10" fillId="0" borderId="4" xfId="2" applyNumberFormat="1" applyFont="1" applyFill="1" applyBorder="1" applyAlignment="1">
      <alignment horizontal="center" vertical="center" wrapText="1"/>
    </xf>
    <xf numFmtId="164" fontId="0" fillId="0" borderId="0" xfId="1" applyNumberFormat="1" applyFont="1" applyAlignment="1">
      <alignment horizontal="right" wrapText="1"/>
    </xf>
    <xf numFmtId="0" fontId="0" fillId="0" borderId="4" xfId="0" applyFill="1" applyBorder="1"/>
    <xf numFmtId="164" fontId="0" fillId="0" borderId="0" xfId="1" applyNumberFormat="1" applyFont="1" applyBorder="1" applyAlignment="1">
      <alignment vertical="center"/>
    </xf>
    <xf numFmtId="164" fontId="0" fillId="0" borderId="0" xfId="1" applyNumberFormat="1" applyFont="1" applyBorder="1" applyAlignment="1">
      <alignment horizontal="center" vertical="center"/>
    </xf>
    <xf numFmtId="166" fontId="0" fillId="0" borderId="7" xfId="1" applyNumberFormat="1" applyFont="1" applyBorder="1"/>
    <xf numFmtId="166" fontId="3" fillId="0" borderId="7" xfId="1" applyNumberFormat="1" applyFont="1" applyFill="1" applyBorder="1"/>
    <xf numFmtId="0" fontId="0" fillId="8" borderId="0" xfId="0" applyFill="1"/>
    <xf numFmtId="0" fontId="18" fillId="0" borderId="0" xfId="0" applyFont="1" applyFill="1" applyBorder="1" applyAlignment="1">
      <alignment horizontal="center"/>
    </xf>
    <xf numFmtId="0" fontId="19" fillId="0" borderId="0" xfId="0" applyFont="1"/>
    <xf numFmtId="0" fontId="20" fillId="0" borderId="4" xfId="0" applyFont="1" applyBorder="1"/>
    <xf numFmtId="164" fontId="3" fillId="0" borderId="5" xfId="1" applyNumberFormat="1" applyFont="1" applyFill="1" applyBorder="1"/>
    <xf numFmtId="0" fontId="4" fillId="0" borderId="4" xfId="0" applyFont="1" applyFill="1" applyBorder="1"/>
    <xf numFmtId="0" fontId="4" fillId="0" borderId="4" xfId="0" applyFont="1" applyBorder="1"/>
    <xf numFmtId="0" fontId="4" fillId="0" borderId="0" xfId="0" applyFont="1" applyBorder="1"/>
    <xf numFmtId="164" fontId="3" fillId="0" borderId="0" xfId="1" applyNumberFormat="1" applyFont="1" applyFill="1" applyBorder="1" applyAlignment="1">
      <alignment horizontal="right"/>
    </xf>
    <xf numFmtId="164" fontId="1" fillId="9" borderId="5" xfId="1" applyNumberFormat="1" applyFont="1" applyFill="1" applyBorder="1"/>
    <xf numFmtId="0" fontId="0" fillId="9" borderId="4" xfId="0" applyFill="1" applyBorder="1"/>
    <xf numFmtId="164" fontId="3" fillId="0" borderId="5" xfId="1" applyNumberFormat="1" applyFont="1" applyFill="1" applyBorder="1" applyAlignment="1">
      <alignment horizontal="right"/>
    </xf>
    <xf numFmtId="164" fontId="1" fillId="9" borderId="0" xfId="1" applyNumberFormat="1" applyFont="1" applyFill="1"/>
    <xf numFmtId="164" fontId="14" fillId="0" borderId="5" xfId="1" applyNumberFormat="1" applyFont="1" applyBorder="1" applyAlignment="1">
      <alignment vertical="center" wrapText="1"/>
    </xf>
    <xf numFmtId="164" fontId="16" fillId="0" borderId="0" xfId="1" applyNumberFormat="1" applyFont="1" applyFill="1" applyBorder="1" applyAlignment="1">
      <alignment horizontal="left" vertical="top" wrapText="1"/>
    </xf>
    <xf numFmtId="0" fontId="3" fillId="0" borderId="0" xfId="0" applyFont="1" applyFill="1" applyBorder="1"/>
    <xf numFmtId="0" fontId="0" fillId="9" borderId="4" xfId="0" applyFont="1" applyFill="1" applyBorder="1"/>
    <xf numFmtId="0" fontId="17" fillId="2" borderId="1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Currency 2" xf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EEFB9F"/>
      <color rgb="FFF7FDD1"/>
      <color rgb="FF0032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1524000</xdr:colOff>
      <xdr:row>3</xdr:row>
      <xdr:rowOff>0</xdr:rowOff>
    </xdr:from>
    <xdr:to>
      <xdr:col>0</xdr:col>
      <xdr:colOff>2828925</xdr:colOff>
      <xdr:row>6</xdr:row>
      <xdr:rowOff>161925</xdr:rowOff>
    </xdr:to>
    <xdr:sp macro="" textlink="">
      <xdr:nvSpPr>
        <xdr:cNvPr id="2" name="Rounded Rectangular Callout 1"/>
        <xdr:cNvSpPr/>
      </xdr:nvSpPr>
      <xdr:spPr>
        <a:xfrm>
          <a:off x="1524000" y="561975"/>
          <a:ext cx="1304925" cy="733425"/>
        </a:xfrm>
        <a:prstGeom prst="wedgeRoundRectCallout">
          <a:avLst>
            <a:gd name="adj1" fmla="val 93750"/>
            <a:gd name="adj2" fmla="val 50001"/>
            <a:gd name="adj3" fmla="val 16667"/>
          </a:avLst>
        </a:prstGeom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800"/>
            <a:t>obtain from statement of financial</a:t>
          </a:r>
          <a:r>
            <a:rPr lang="en-AU" sz="800" baseline="0"/>
            <a:t> position for the case study, or from bank statement</a:t>
          </a:r>
          <a:endParaRPr lang="en-AU" sz="800"/>
        </a:p>
      </xdr:txBody>
    </xdr:sp>
    <xdr:clientData/>
  </xdr:twoCellAnchor>
  <xdr:twoCellAnchor>
    <xdr:from>
      <xdr:col>13</xdr:col>
      <xdr:colOff>590550</xdr:colOff>
      <xdr:row>7</xdr:row>
      <xdr:rowOff>123825</xdr:rowOff>
    </xdr:from>
    <xdr:to>
      <xdr:col>14</xdr:col>
      <xdr:colOff>1104900</xdr:colOff>
      <xdr:row>8</xdr:row>
      <xdr:rowOff>167640</xdr:rowOff>
    </xdr:to>
    <xdr:sp macro="" textlink="">
      <xdr:nvSpPr>
        <xdr:cNvPr id="3" name="Rounded Rectangular Callout 2"/>
        <xdr:cNvSpPr/>
      </xdr:nvSpPr>
      <xdr:spPr>
        <a:xfrm>
          <a:off x="11477625" y="1447800"/>
          <a:ext cx="1285875" cy="234315"/>
        </a:xfrm>
        <a:prstGeom prst="wedgeRoundRectCallout">
          <a:avLst>
            <a:gd name="adj1" fmla="val 27002"/>
            <a:gd name="adj2" fmla="val 131916"/>
            <a:gd name="adj3" fmla="val 16667"/>
          </a:avLst>
        </a:prstGeom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AU" sz="800"/>
            <a:t>from receipts</a:t>
          </a:r>
          <a:r>
            <a:rPr lang="en-AU" sz="800" baseline="0"/>
            <a:t> schedule</a:t>
          </a:r>
          <a:endParaRPr lang="en-AU" sz="800"/>
        </a:p>
      </xdr:txBody>
    </xdr:sp>
    <xdr:clientData/>
  </xdr:twoCellAnchor>
  <xdr:twoCellAnchor>
    <xdr:from>
      <xdr:col>2</xdr:col>
      <xdr:colOff>581026</xdr:colOff>
      <xdr:row>10</xdr:row>
      <xdr:rowOff>180975</xdr:rowOff>
    </xdr:from>
    <xdr:to>
      <xdr:col>12</xdr:col>
      <xdr:colOff>38101</xdr:colOff>
      <xdr:row>12</xdr:row>
      <xdr:rowOff>47625</xdr:rowOff>
    </xdr:to>
    <xdr:sp macro="" textlink="">
      <xdr:nvSpPr>
        <xdr:cNvPr id="4" name="Rounded Rectangular Callout 3"/>
        <xdr:cNvSpPr/>
      </xdr:nvSpPr>
      <xdr:spPr>
        <a:xfrm>
          <a:off x="4381501" y="2076450"/>
          <a:ext cx="5905500" cy="247650"/>
        </a:xfrm>
        <a:prstGeom prst="wedgeRoundRectCallout">
          <a:avLst>
            <a:gd name="adj1" fmla="val -59968"/>
            <a:gd name="adj2" fmla="val 192532"/>
            <a:gd name="adj3" fmla="val 16667"/>
          </a:avLst>
        </a:prstGeom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800"/>
            <a:t>Obtain this figure for GST owed from the previous</a:t>
          </a:r>
          <a:r>
            <a:rPr lang="en-AU" sz="800" baseline="0"/>
            <a:t> quarter from Creditors  at end of June 20xy. Often on Statement of Fin Position. </a:t>
          </a:r>
          <a:endParaRPr lang="en-AU" sz="1000"/>
        </a:p>
      </xdr:txBody>
    </xdr:sp>
    <xdr:clientData/>
  </xdr:twoCellAnchor>
  <xdr:twoCellAnchor>
    <xdr:from>
      <xdr:col>0</xdr:col>
      <xdr:colOff>1276350</xdr:colOff>
      <xdr:row>16</xdr:row>
      <xdr:rowOff>9525</xdr:rowOff>
    </xdr:from>
    <xdr:to>
      <xdr:col>0</xdr:col>
      <xdr:colOff>3019425</xdr:colOff>
      <xdr:row>22</xdr:row>
      <xdr:rowOff>85725</xdr:rowOff>
    </xdr:to>
    <xdr:sp macro="" textlink="">
      <xdr:nvSpPr>
        <xdr:cNvPr id="5" name="Rectangular Callout 4"/>
        <xdr:cNvSpPr/>
      </xdr:nvSpPr>
      <xdr:spPr>
        <a:xfrm>
          <a:off x="1276350" y="3209925"/>
          <a:ext cx="1743075" cy="1219200"/>
        </a:xfrm>
        <a:prstGeom prst="wedgeRectCallout">
          <a:avLst>
            <a:gd name="adj1" fmla="val 175000"/>
            <a:gd name="adj2" fmla="val -90500"/>
          </a:avLst>
        </a:prstGeom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800"/>
            <a:t>use an equation like this to calculate this .</a:t>
          </a:r>
          <a:r>
            <a:rPr lang="en-AU" sz="800" baseline="0"/>
            <a:t> DIVIDING BY 11 will give you the Australian GST component.  Use a appropriate figure if in another country e.g.</a:t>
          </a:r>
        </a:p>
        <a:p>
          <a:pPr algn="l"/>
          <a:r>
            <a:rPr lang="en-AU" sz="800"/>
            <a:t>=SUM(B11:D11)/11-SUM(B16:D16)/11-SUM(B23:D33)/11-SUM(B38:D39)/11-SUM(B44:D55)/11</a:t>
          </a:r>
        </a:p>
      </xdr:txBody>
    </xdr:sp>
    <xdr:clientData/>
  </xdr:twoCellAnchor>
  <xdr:twoCellAnchor>
    <xdr:from>
      <xdr:col>12</xdr:col>
      <xdr:colOff>565785</xdr:colOff>
      <xdr:row>55</xdr:row>
      <xdr:rowOff>114300</xdr:rowOff>
    </xdr:from>
    <xdr:to>
      <xdr:col>15</xdr:col>
      <xdr:colOff>22861</xdr:colOff>
      <xdr:row>60</xdr:row>
      <xdr:rowOff>0</xdr:rowOff>
    </xdr:to>
    <xdr:sp macro="" textlink="">
      <xdr:nvSpPr>
        <xdr:cNvPr id="6" name="Oval 5"/>
        <xdr:cNvSpPr/>
      </xdr:nvSpPr>
      <xdr:spPr>
        <a:xfrm>
          <a:off x="10814685" y="10744200"/>
          <a:ext cx="2019301" cy="1009650"/>
        </a:xfrm>
        <a:prstGeom prst="ellipse">
          <a:avLst/>
        </a:prstGeom>
        <a:noFill/>
        <a:ln w="3175"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ln w="3175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9</xdr:col>
      <xdr:colOff>175260</xdr:colOff>
      <xdr:row>57</xdr:row>
      <xdr:rowOff>102870</xdr:rowOff>
    </xdr:from>
    <xdr:to>
      <xdr:col>12</xdr:col>
      <xdr:colOff>121920</xdr:colOff>
      <xdr:row>58</xdr:row>
      <xdr:rowOff>123825</xdr:rowOff>
    </xdr:to>
    <xdr:sp macro="" textlink="">
      <xdr:nvSpPr>
        <xdr:cNvPr id="7" name="Rectangular Callout 6"/>
        <xdr:cNvSpPr/>
      </xdr:nvSpPr>
      <xdr:spPr>
        <a:xfrm>
          <a:off x="8433435" y="11113770"/>
          <a:ext cx="1937385" cy="382905"/>
        </a:xfrm>
        <a:prstGeom prst="wedgeRectCallout">
          <a:avLst>
            <a:gd name="adj1" fmla="val 69625"/>
            <a:gd name="adj2" fmla="val -8753"/>
          </a:avLst>
        </a:prstGeom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800"/>
            <a:t>Click</a:t>
          </a:r>
          <a:r>
            <a:rPr lang="en-AU" sz="800" baseline="0"/>
            <a:t> on each 899,293 to reveal the  way the figure has been calculated</a:t>
          </a:r>
          <a:endParaRPr lang="en-AU" sz="800"/>
        </a:p>
      </xdr:txBody>
    </xdr:sp>
    <xdr:clientData/>
  </xdr:twoCellAnchor>
  <xdr:twoCellAnchor>
    <xdr:from>
      <xdr:col>0</xdr:col>
      <xdr:colOff>57150</xdr:colOff>
      <xdr:row>57</xdr:row>
      <xdr:rowOff>76200</xdr:rowOff>
    </xdr:from>
    <xdr:to>
      <xdr:col>0</xdr:col>
      <xdr:colOff>2733675</xdr:colOff>
      <xdr:row>59</xdr:row>
      <xdr:rowOff>19050</xdr:rowOff>
    </xdr:to>
    <xdr:sp macro="" textlink="">
      <xdr:nvSpPr>
        <xdr:cNvPr id="8" name="Rectangular Callout 7"/>
        <xdr:cNvSpPr/>
      </xdr:nvSpPr>
      <xdr:spPr>
        <a:xfrm>
          <a:off x="57150" y="11087100"/>
          <a:ext cx="2676525" cy="495300"/>
        </a:xfrm>
        <a:prstGeom prst="wedgeRectCallout">
          <a:avLst>
            <a:gd name="adj1" fmla="val 67279"/>
            <a:gd name="adj2" fmla="val 73675"/>
          </a:avLst>
        </a:prstGeom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800"/>
            <a:t>Negative</a:t>
          </a:r>
          <a:r>
            <a:rPr lang="en-AU" sz="800" baseline="0"/>
            <a:t> balances can be shown as figures in brackets  or in red or with a minus sign preceeding them.  All are used here as examples</a:t>
          </a:r>
          <a:endParaRPr lang="en-AU" sz="800"/>
        </a:p>
      </xdr:txBody>
    </xdr:sp>
    <xdr:clientData/>
  </xdr:twoCellAnchor>
  <xdr:twoCellAnchor>
    <xdr:from>
      <xdr:col>0</xdr:col>
      <xdr:colOff>2019299</xdr:colOff>
      <xdr:row>11</xdr:row>
      <xdr:rowOff>57149</xdr:rowOff>
    </xdr:from>
    <xdr:to>
      <xdr:col>1</xdr:col>
      <xdr:colOff>409574</xdr:colOff>
      <xdr:row>14</xdr:row>
      <xdr:rowOff>171449</xdr:rowOff>
    </xdr:to>
    <xdr:sp macro="" textlink="">
      <xdr:nvSpPr>
        <xdr:cNvPr id="9" name="Rectangular Callout 8"/>
        <xdr:cNvSpPr/>
      </xdr:nvSpPr>
      <xdr:spPr>
        <a:xfrm>
          <a:off x="2019299" y="2143124"/>
          <a:ext cx="1419225" cy="790575"/>
        </a:xfrm>
        <a:prstGeom prst="wedgeRectCallout">
          <a:avLst>
            <a:gd name="adj1" fmla="val -65686"/>
            <a:gd name="adj2" fmla="val 25302"/>
          </a:avLst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GST must be paid by the 28th of the month following the end of the relevant period. This business has opted to pay quarterly.</a:t>
          </a:r>
        </a:p>
        <a:p>
          <a:pPr algn="l"/>
          <a:endParaRPr lang="en-AU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185"/>
  <sheetViews>
    <sheetView tabSelected="1" workbookViewId="0">
      <selection sqref="A1:O1"/>
    </sheetView>
  </sheetViews>
  <sheetFormatPr defaultRowHeight="15" x14ac:dyDescent="0.25"/>
  <cols>
    <col min="1" max="1" width="45.42578125" customWidth="1"/>
    <col min="2" max="2" width="11.5703125" bestFit="1" customWidth="1"/>
    <col min="5" max="5" width="10.5703125" bestFit="1" customWidth="1"/>
    <col min="8" max="8" width="10.5703125" bestFit="1" customWidth="1"/>
    <col min="11" max="11" width="11.140625" customWidth="1"/>
    <col min="12" max="13" width="9.5703125" customWidth="1"/>
    <col min="14" max="14" width="11.5703125" bestFit="1" customWidth="1"/>
    <col min="15" max="15" width="17.28515625" customWidth="1"/>
    <col min="16" max="16" width="19.85546875" customWidth="1"/>
    <col min="17" max="17" width="12" customWidth="1"/>
    <col min="18" max="18" width="75.42578125" customWidth="1"/>
    <col min="19" max="19" width="9.5703125" bestFit="1" customWidth="1"/>
  </cols>
  <sheetData>
    <row r="1" spans="1:18" ht="18.75" x14ac:dyDescent="0.3">
      <c r="A1" s="131" t="s">
        <v>118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3"/>
      <c r="P1" s="98"/>
    </row>
    <row r="2" spans="1:18" s="116" customFormat="1" ht="12.75" x14ac:dyDescent="0.2">
      <c r="A2" s="134" t="s">
        <v>22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6"/>
      <c r="P2" s="115"/>
    </row>
    <row r="3" spans="1:18" s="116" customFormat="1" ht="12.75" x14ac:dyDescent="0.2">
      <c r="A3" s="137" t="s">
        <v>138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9"/>
      <c r="P3" s="115"/>
    </row>
    <row r="4" spans="1:18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24" t="s">
        <v>42</v>
      </c>
      <c r="O4" s="8" t="s">
        <v>41</v>
      </c>
      <c r="P4" s="7"/>
    </row>
    <row r="5" spans="1:18" x14ac:dyDescent="0.25">
      <c r="A5" s="6"/>
      <c r="B5" s="9" t="s">
        <v>139</v>
      </c>
      <c r="C5" s="9" t="s">
        <v>140</v>
      </c>
      <c r="D5" s="9" t="s">
        <v>141</v>
      </c>
      <c r="E5" s="9" t="s">
        <v>142</v>
      </c>
      <c r="F5" s="9" t="s">
        <v>143</v>
      </c>
      <c r="G5" s="9" t="s">
        <v>144</v>
      </c>
      <c r="H5" s="9" t="s">
        <v>145</v>
      </c>
      <c r="I5" s="9" t="s">
        <v>146</v>
      </c>
      <c r="J5" s="9" t="s">
        <v>147</v>
      </c>
      <c r="K5" s="9" t="s">
        <v>148</v>
      </c>
      <c r="L5" s="9" t="s">
        <v>149</v>
      </c>
      <c r="M5" s="9" t="s">
        <v>150</v>
      </c>
      <c r="N5" s="9" t="s">
        <v>43</v>
      </c>
      <c r="O5" s="10" t="s">
        <v>4</v>
      </c>
      <c r="P5" s="99"/>
      <c r="Q5" s="4"/>
      <c r="R5" t="s">
        <v>5</v>
      </c>
    </row>
    <row r="6" spans="1:18" x14ac:dyDescent="0.25">
      <c r="A6" s="6"/>
      <c r="B6" s="9" t="s">
        <v>2</v>
      </c>
      <c r="C6" s="9" t="s">
        <v>2</v>
      </c>
      <c r="D6" s="9" t="s">
        <v>2</v>
      </c>
      <c r="E6" s="9" t="s">
        <v>2</v>
      </c>
      <c r="F6" s="9" t="s">
        <v>2</v>
      </c>
      <c r="G6" s="9" t="s">
        <v>2</v>
      </c>
      <c r="H6" s="9" t="s">
        <v>2</v>
      </c>
      <c r="I6" s="9" t="s">
        <v>2</v>
      </c>
      <c r="J6" s="9" t="s">
        <v>2</v>
      </c>
      <c r="K6" s="9" t="s">
        <v>2</v>
      </c>
      <c r="L6" s="9" t="s">
        <v>2</v>
      </c>
      <c r="M6" s="9" t="s">
        <v>2</v>
      </c>
      <c r="N6" s="11" t="s">
        <v>2</v>
      </c>
      <c r="O6" s="11" t="s">
        <v>2</v>
      </c>
      <c r="P6" s="9"/>
      <c r="Q6" s="3"/>
    </row>
    <row r="7" spans="1:18" x14ac:dyDescent="0.2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2"/>
      <c r="P7" s="13"/>
      <c r="Q7" s="1"/>
    </row>
    <row r="8" spans="1:18" x14ac:dyDescent="0.25">
      <c r="A8" s="6" t="s">
        <v>0</v>
      </c>
      <c r="B8" s="20">
        <v>-1950</v>
      </c>
      <c r="C8" s="20">
        <f>B61</f>
        <v>-27289.481025641013</v>
      </c>
      <c r="D8" s="20">
        <f t="shared" ref="D8:L8" si="0">C61</f>
        <v>-31298.850897435885</v>
      </c>
      <c r="E8" s="20">
        <f t="shared" si="0"/>
        <v>-27448.423923076931</v>
      </c>
      <c r="F8" s="20">
        <f t="shared" si="0"/>
        <v>-34155.344394172498</v>
      </c>
      <c r="G8" s="20">
        <f t="shared" si="0"/>
        <v>-24068.398499813542</v>
      </c>
      <c r="H8" s="20">
        <f t="shared" si="0"/>
        <v>-10399.208181454582</v>
      </c>
      <c r="I8" s="20">
        <f t="shared" si="0"/>
        <v>-29849.75119099491</v>
      </c>
      <c r="J8" s="20">
        <f t="shared" si="0"/>
        <v>-21901.130008075939</v>
      </c>
      <c r="K8" s="20">
        <f t="shared" si="0"/>
        <v>-7469.7669877249864</v>
      </c>
      <c r="L8" s="20">
        <f t="shared" si="0"/>
        <v>-9248.6700171127159</v>
      </c>
      <c r="M8" s="20">
        <f>L61</f>
        <v>8510.1557897823077</v>
      </c>
      <c r="N8" s="20"/>
      <c r="O8" s="12"/>
      <c r="P8" s="13"/>
      <c r="Q8" s="1"/>
      <c r="R8" t="s">
        <v>20</v>
      </c>
    </row>
    <row r="9" spans="1:18" x14ac:dyDescent="0.25">
      <c r="A9" s="6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2"/>
      <c r="P9" s="13"/>
      <c r="Q9" s="1"/>
    </row>
    <row r="10" spans="1:18" x14ac:dyDescent="0.25">
      <c r="A10" s="14" t="s">
        <v>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2"/>
      <c r="P10" s="13"/>
      <c r="Q10" s="1"/>
    </row>
    <row r="11" spans="1:18" x14ac:dyDescent="0.25">
      <c r="A11" s="6" t="s">
        <v>115</v>
      </c>
      <c r="B11" s="79">
        <f>'20xy-xzForecastReceiptsSchedule'!C14</f>
        <v>67811.7</v>
      </c>
      <c r="C11" s="79">
        <f>'20xy-xzForecastReceiptsSchedule'!D14</f>
        <v>70121.19</v>
      </c>
      <c r="D11" s="79">
        <f>'20xy-xzForecastReceiptsSchedule'!E14</f>
        <v>72102.332999999999</v>
      </c>
      <c r="E11" s="79">
        <f>'20xy-xzForecastReceiptsSchedule'!F14</f>
        <v>75747.233100000012</v>
      </c>
      <c r="F11" s="79">
        <f>'20xy-xzForecastReceiptsSchedule'!G14</f>
        <v>79295.851919999986</v>
      </c>
      <c r="G11" s="79">
        <f>'20xy-xzForecastReceiptsSchedule'!H14</f>
        <v>83452.09634399999</v>
      </c>
      <c r="H11" s="79">
        <f>'20xy-xzForecastReceiptsSchedule'!I14</f>
        <v>82446.467440799985</v>
      </c>
      <c r="I11" s="79">
        <f>'20xy-xzForecastReceiptsSchedule'!J14</f>
        <v>80257.527208560001</v>
      </c>
      <c r="J11" s="79">
        <f>'20xy-xzForecastReceiptsSchedule'!K14</f>
        <v>79940.269045991998</v>
      </c>
      <c r="K11" s="79">
        <f>'20xy-xzForecastReceiptsSchedule'!L14</f>
        <v>80798.18833219439</v>
      </c>
      <c r="L11" s="79">
        <f>'20xy-xzForecastReceiptsSchedule'!M14</f>
        <v>81992.731832536068</v>
      </c>
      <c r="M11" s="79">
        <f>'20xy-xzForecastReceiptsSchedule'!N14</f>
        <v>82882.912282775244</v>
      </c>
      <c r="N11" s="79">
        <f>SUM(B11:M11)</f>
        <v>936848.50050685753</v>
      </c>
      <c r="O11" s="80">
        <f>'20xy-xzForecastReceiptsSchedule'!O14</f>
        <v>936848.50050685753</v>
      </c>
      <c r="P11" s="100"/>
      <c r="Q11" s="1"/>
      <c r="R11" t="s">
        <v>21</v>
      </c>
    </row>
    <row r="12" spans="1:18" x14ac:dyDescent="0.25">
      <c r="A12" s="6"/>
      <c r="N12" s="13"/>
      <c r="O12" s="15"/>
      <c r="P12" s="16"/>
      <c r="Q12" s="1"/>
    </row>
    <row r="13" spans="1:18" ht="19.5" customHeight="1" x14ac:dyDescent="0.3">
      <c r="A13" s="117" t="s">
        <v>38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25" t="s">
        <v>119</v>
      </c>
      <c r="P13" s="108" t="s">
        <v>120</v>
      </c>
    </row>
    <row r="14" spans="1:18" ht="18.75" customHeight="1" x14ac:dyDescent="0.25">
      <c r="A14" s="6" t="s">
        <v>134</v>
      </c>
      <c r="B14" s="13">
        <f>11449</f>
        <v>11449</v>
      </c>
      <c r="C14" s="13"/>
      <c r="D14" s="13"/>
      <c r="E14" s="95">
        <f>SUM(B11:D11)/11-SUM(B21:D21)/11-SUM(B16:D16)/11-SUM(B23:D33)/11-SUM(B38:D38)/11-SUM(B43:D55)/11</f>
        <v>9202.2475454545474</v>
      </c>
      <c r="F14" s="13"/>
      <c r="G14" s="13"/>
      <c r="H14" s="95">
        <f>SUM(E11:G11)/11-SUM(E21:G21)/11-SUM(E16:G16)/11-SUM(E23:G33)/11-SUM(E38:G38)/11-SUM(E43:G55)/11</f>
        <v>11525.450578545457</v>
      </c>
      <c r="I14" s="13"/>
      <c r="J14" s="13"/>
      <c r="K14" s="95">
        <f>SUM(H11:J11)/11-SUM(H21:J21)/11-SUM(H16:J16)/11-SUM(H23:J33)/11-SUM(H38:J38)/11-SUM(H43:J55)/11</f>
        <v>10678.185335941089</v>
      </c>
      <c r="L14" s="13"/>
      <c r="M14" s="13"/>
      <c r="N14" s="13">
        <f>SUM(B14:M14)</f>
        <v>42854.883459941091</v>
      </c>
      <c r="O14" s="15">
        <f>N14</f>
        <v>42854.883459941091</v>
      </c>
      <c r="P14" s="15"/>
      <c r="Q14" s="1"/>
      <c r="R14" t="s">
        <v>39</v>
      </c>
    </row>
    <row r="15" spans="1:18" ht="19.5" customHeight="1" x14ac:dyDescent="0.25">
      <c r="A15" s="120" t="s">
        <v>131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25"/>
      <c r="P15" s="108"/>
    </row>
    <row r="16" spans="1:18" x14ac:dyDescent="0.25">
      <c r="A16" s="124" t="s">
        <v>54</v>
      </c>
      <c r="B16" s="13">
        <f>$O$16/12-2000</f>
        <v>17708.333333333336</v>
      </c>
      <c r="C16" s="13">
        <f>$O$16/12-2000</f>
        <v>17708.333333333336</v>
      </c>
      <c r="D16" s="13">
        <f>$O$16/12</f>
        <v>19708.333333333336</v>
      </c>
      <c r="E16" s="13">
        <f>$O$16/12</f>
        <v>19708.333333333336</v>
      </c>
      <c r="F16" s="13">
        <f>$O$16/12+2000</f>
        <v>21708.333333333336</v>
      </c>
      <c r="G16" s="13">
        <f>$O$16/12+2000</f>
        <v>21708.333333333336</v>
      </c>
      <c r="H16" s="13">
        <f>$O$16/12+2000</f>
        <v>21708.333333333336</v>
      </c>
      <c r="I16" s="13">
        <f>$O$16/12+2000</f>
        <v>21708.333333333336</v>
      </c>
      <c r="J16" s="13">
        <f>$O$16/12</f>
        <v>19708.333333333336</v>
      </c>
      <c r="K16" s="13">
        <f>$O$16/12</f>
        <v>19708.333333333336</v>
      </c>
      <c r="L16" s="13">
        <f>$O$16/12-2000</f>
        <v>17708.333333333336</v>
      </c>
      <c r="M16" s="13">
        <f>$O$16/12-2000</f>
        <v>17708.333333333336</v>
      </c>
      <c r="N16" s="13">
        <f>SUM(B16:M16)</f>
        <v>236500.00000000009</v>
      </c>
      <c r="O16" s="118">
        <f>P16*1.1</f>
        <v>236500.00000000003</v>
      </c>
      <c r="P16" s="126">
        <v>215000</v>
      </c>
      <c r="R16" t="s">
        <v>25</v>
      </c>
    </row>
    <row r="17" spans="1:20" x14ac:dyDescent="0.25">
      <c r="A17" s="121" t="s">
        <v>129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22"/>
      <c r="P17" s="108"/>
    </row>
    <row r="18" spans="1:20" x14ac:dyDescent="0.25">
      <c r="A18" s="109" t="s">
        <v>37</v>
      </c>
      <c r="B18" s="13">
        <v>1000</v>
      </c>
      <c r="C18" s="13">
        <v>1000</v>
      </c>
      <c r="D18" s="13">
        <v>1000</v>
      </c>
      <c r="E18" s="13">
        <v>1000</v>
      </c>
      <c r="F18" s="13">
        <v>1000</v>
      </c>
      <c r="G18" s="13">
        <v>1000</v>
      </c>
      <c r="H18" s="13">
        <v>1000</v>
      </c>
      <c r="I18" s="13">
        <v>1000</v>
      </c>
      <c r="J18" s="13">
        <v>1000</v>
      </c>
      <c r="K18" s="13">
        <v>1000</v>
      </c>
      <c r="L18" s="13">
        <v>1000</v>
      </c>
      <c r="M18" s="13">
        <v>1000</v>
      </c>
      <c r="N18" s="13">
        <f>SUM(B18:M18)</f>
        <v>12000</v>
      </c>
      <c r="O18" s="118">
        <f>P18</f>
        <v>12000</v>
      </c>
      <c r="P18" s="101">
        <v>12000</v>
      </c>
      <c r="Q18" s="1"/>
      <c r="R18" t="s">
        <v>155</v>
      </c>
    </row>
    <row r="19" spans="1:20" x14ac:dyDescent="0.25">
      <c r="A19" s="124" t="s">
        <v>80</v>
      </c>
      <c r="B19" s="13">
        <f t="shared" ref="B19:M19" si="1">$O$19/26*B63</f>
        <v>22917.307692307691</v>
      </c>
      <c r="C19" s="13">
        <f t="shared" si="1"/>
        <v>34375.961538461539</v>
      </c>
      <c r="D19" s="13">
        <f t="shared" si="1"/>
        <v>22917.307692307691</v>
      </c>
      <c r="E19" s="13">
        <f t="shared" si="1"/>
        <v>22917.307692307691</v>
      </c>
      <c r="F19" s="13">
        <f t="shared" si="1"/>
        <v>22917.307692307691</v>
      </c>
      <c r="G19" s="13">
        <f t="shared" si="1"/>
        <v>22917.307692307691</v>
      </c>
      <c r="H19" s="13">
        <f t="shared" si="1"/>
        <v>34375.961538461539</v>
      </c>
      <c r="I19" s="13">
        <f t="shared" si="1"/>
        <v>22917.307692307691</v>
      </c>
      <c r="J19" s="13">
        <f t="shared" si="1"/>
        <v>22917.307692307691</v>
      </c>
      <c r="K19" s="13">
        <f t="shared" si="1"/>
        <v>22917.307692307691</v>
      </c>
      <c r="L19" s="13">
        <f t="shared" si="1"/>
        <v>22917.307692307691</v>
      </c>
      <c r="M19" s="13">
        <f t="shared" si="1"/>
        <v>22917.307692307691</v>
      </c>
      <c r="N19" s="13">
        <f>SUM(B19:M19)</f>
        <v>297925</v>
      </c>
      <c r="O19" s="118">
        <f>P19</f>
        <v>297925</v>
      </c>
      <c r="P19" s="123">
        <v>297925</v>
      </c>
      <c r="Q19" s="1"/>
      <c r="R19" t="s">
        <v>154</v>
      </c>
    </row>
    <row r="20" spans="1:20" x14ac:dyDescent="0.25">
      <c r="A20" s="124" t="s">
        <v>6</v>
      </c>
      <c r="B20" s="13">
        <f>2346.91666666667 + 12200</f>
        <v>14546.91666666667</v>
      </c>
      <c r="C20" s="13">
        <v>2346.9166666666665</v>
      </c>
      <c r="D20" s="13">
        <v>2346.9166666666665</v>
      </c>
      <c r="E20" s="13">
        <v>2346.9166666666665</v>
      </c>
      <c r="F20" s="13">
        <v>2346.9166666666665</v>
      </c>
      <c r="G20" s="13">
        <v>2346.9166666666665</v>
      </c>
      <c r="H20" s="13">
        <v>2346.9166666666665</v>
      </c>
      <c r="I20" s="13">
        <v>2346.9166666666665</v>
      </c>
      <c r="J20" s="13">
        <v>2346.9166666666665</v>
      </c>
      <c r="K20" s="13">
        <v>2346.9166666666665</v>
      </c>
      <c r="L20" s="13">
        <v>2346.9166666666665</v>
      </c>
      <c r="M20" s="13">
        <v>2346.9166666666665</v>
      </c>
      <c r="N20" s="13">
        <f>SUM(B20:M20)</f>
        <v>40363</v>
      </c>
      <c r="O20" s="118">
        <f>P20</f>
        <v>40363</v>
      </c>
      <c r="P20" s="123">
        <v>40363</v>
      </c>
      <c r="Q20" s="1"/>
      <c r="R20" t="s">
        <v>153</v>
      </c>
    </row>
    <row r="21" spans="1:20" x14ac:dyDescent="0.25">
      <c r="A21" s="124" t="s">
        <v>7</v>
      </c>
      <c r="B21" s="13">
        <v>500</v>
      </c>
      <c r="C21" s="13">
        <v>500</v>
      </c>
      <c r="D21" s="13">
        <v>500</v>
      </c>
      <c r="E21" s="13">
        <v>500</v>
      </c>
      <c r="F21" s="13">
        <v>500</v>
      </c>
      <c r="G21" s="13">
        <v>500</v>
      </c>
      <c r="H21" s="13">
        <v>500</v>
      </c>
      <c r="I21" s="13">
        <v>500</v>
      </c>
      <c r="J21" s="13">
        <v>500</v>
      </c>
      <c r="K21" s="13">
        <v>500</v>
      </c>
      <c r="L21" s="13">
        <v>500</v>
      </c>
      <c r="M21" s="13">
        <v>500</v>
      </c>
      <c r="N21" s="13">
        <f>SUM(B21:M21)</f>
        <v>6000</v>
      </c>
      <c r="O21" s="118">
        <f>P21</f>
        <v>6000</v>
      </c>
      <c r="P21" s="123">
        <v>6000</v>
      </c>
      <c r="Q21" s="1"/>
      <c r="R21" t="s">
        <v>8</v>
      </c>
    </row>
    <row r="22" spans="1:20" x14ac:dyDescent="0.25">
      <c r="A22" s="124" t="s">
        <v>135</v>
      </c>
      <c r="B22" s="13">
        <v>0</v>
      </c>
      <c r="C22" s="13">
        <v>0</v>
      </c>
      <c r="D22" s="13">
        <v>0</v>
      </c>
      <c r="E22" s="13">
        <v>0</v>
      </c>
      <c r="F22" s="13">
        <v>3100</v>
      </c>
      <c r="G22" s="13">
        <v>3189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f>SUM(B22:M22)</f>
        <v>6289</v>
      </c>
      <c r="O22" s="118">
        <f>P22</f>
        <v>6289</v>
      </c>
      <c r="P22" s="123">
        <v>6289</v>
      </c>
      <c r="Q22" s="1">
        <f>SUM(N19:N22)</f>
        <v>350577</v>
      </c>
      <c r="R22" t="s">
        <v>57</v>
      </c>
    </row>
    <row r="23" spans="1:20" x14ac:dyDescent="0.25">
      <c r="A23" s="124" t="s">
        <v>26</v>
      </c>
      <c r="B23" s="13">
        <v>137.50000000000003</v>
      </c>
      <c r="C23" s="13">
        <v>137.50000000000003</v>
      </c>
      <c r="D23" s="13">
        <v>137.50000000000003</v>
      </c>
      <c r="E23" s="13">
        <v>137.50000000000003</v>
      </c>
      <c r="F23" s="13">
        <v>137.50000000000003</v>
      </c>
      <c r="G23" s="13">
        <v>137.50000000000003</v>
      </c>
      <c r="H23" s="13">
        <v>137.50000000000003</v>
      </c>
      <c r="I23" s="13">
        <v>137.50000000000003</v>
      </c>
      <c r="J23" s="13">
        <v>137.50000000000003</v>
      </c>
      <c r="K23" s="13">
        <v>137.50000000000003</v>
      </c>
      <c r="L23" s="13">
        <v>137.50000000000003</v>
      </c>
      <c r="M23" s="13">
        <v>137.50000000000003</v>
      </c>
      <c r="N23" s="13">
        <f t="shared" ref="N23:N56" si="2">SUM(B23:M23)</f>
        <v>1650.0000000000002</v>
      </c>
      <c r="O23" s="118">
        <f>P23*1.1</f>
        <v>1650.0000000000002</v>
      </c>
      <c r="P23" s="123">
        <v>1500</v>
      </c>
      <c r="Q23" s="1"/>
    </row>
    <row r="24" spans="1:20" x14ac:dyDescent="0.25">
      <c r="A24" s="124" t="s">
        <v>27</v>
      </c>
      <c r="B24" s="13">
        <v>0</v>
      </c>
      <c r="C24" s="13">
        <v>540</v>
      </c>
      <c r="D24" s="13">
        <v>0</v>
      </c>
      <c r="E24" s="13">
        <v>0</v>
      </c>
      <c r="F24" s="13">
        <v>0</v>
      </c>
      <c r="G24" s="13">
        <v>485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600</v>
      </c>
      <c r="N24" s="13">
        <f t="shared" si="2"/>
        <v>1625</v>
      </c>
      <c r="O24" s="118">
        <f t="shared" ref="O24:O55" si="3">P24*1.1</f>
        <v>1624.7</v>
      </c>
      <c r="P24" s="123">
        <v>1477</v>
      </c>
      <c r="Q24" s="1"/>
      <c r="R24" s="23">
        <f>SUM(B16:D55)</f>
        <v>220834.64692307706</v>
      </c>
      <c r="S24" s="74"/>
    </row>
    <row r="25" spans="1:20" x14ac:dyDescent="0.25">
      <c r="A25" s="124" t="s">
        <v>28</v>
      </c>
      <c r="B25" s="13">
        <v>1000</v>
      </c>
      <c r="C25" s="13">
        <v>0</v>
      </c>
      <c r="D25" s="13">
        <v>0</v>
      </c>
      <c r="E25" s="13">
        <v>0</v>
      </c>
      <c r="F25" s="13"/>
      <c r="G25" s="13">
        <v>0</v>
      </c>
      <c r="H25" s="13">
        <v>0</v>
      </c>
      <c r="I25" s="13">
        <v>0</v>
      </c>
      <c r="J25" s="13">
        <v>1400</v>
      </c>
      <c r="K25" s="13">
        <v>1340</v>
      </c>
      <c r="L25" s="13">
        <v>0</v>
      </c>
      <c r="M25" s="13">
        <v>0</v>
      </c>
      <c r="N25" s="13">
        <f t="shared" si="2"/>
        <v>3740</v>
      </c>
      <c r="O25" s="118">
        <f t="shared" si="3"/>
        <v>3740.0000000000005</v>
      </c>
      <c r="P25" s="123">
        <v>3400</v>
      </c>
      <c r="Q25" s="1"/>
      <c r="R25" s="74">
        <f>R24/11</f>
        <v>20075.876993007005</v>
      </c>
      <c r="T25" s="45"/>
    </row>
    <row r="26" spans="1:20" x14ac:dyDescent="0.25">
      <c r="A26" s="124" t="s">
        <v>29</v>
      </c>
      <c r="B26" s="13">
        <f t="shared" ref="B26:M26" si="4">$O$26/12</f>
        <v>302.50000000000006</v>
      </c>
      <c r="C26" s="13">
        <f t="shared" si="4"/>
        <v>302.50000000000006</v>
      </c>
      <c r="D26" s="13">
        <f t="shared" si="4"/>
        <v>302.50000000000006</v>
      </c>
      <c r="E26" s="13">
        <f t="shared" si="4"/>
        <v>302.50000000000006</v>
      </c>
      <c r="F26" s="13">
        <f t="shared" si="4"/>
        <v>302.50000000000006</v>
      </c>
      <c r="G26" s="13">
        <f t="shared" si="4"/>
        <v>302.50000000000006</v>
      </c>
      <c r="H26" s="13">
        <f t="shared" si="4"/>
        <v>302.50000000000006</v>
      </c>
      <c r="I26" s="13">
        <f t="shared" si="4"/>
        <v>302.50000000000006</v>
      </c>
      <c r="J26" s="13">
        <f t="shared" si="4"/>
        <v>302.50000000000006</v>
      </c>
      <c r="K26" s="13">
        <f t="shared" si="4"/>
        <v>302.50000000000006</v>
      </c>
      <c r="L26" s="13">
        <f t="shared" si="4"/>
        <v>302.50000000000006</v>
      </c>
      <c r="M26" s="13">
        <f t="shared" si="4"/>
        <v>302.50000000000006</v>
      </c>
      <c r="N26" s="13">
        <f t="shared" si="2"/>
        <v>3630.0000000000005</v>
      </c>
      <c r="O26" s="118">
        <f t="shared" si="3"/>
        <v>3630.0000000000005</v>
      </c>
      <c r="P26" s="123">
        <v>3300</v>
      </c>
      <c r="Q26" s="1"/>
      <c r="T26" s="45"/>
    </row>
    <row r="27" spans="1:20" x14ac:dyDescent="0.25">
      <c r="A27" s="124" t="s">
        <v>33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4235</v>
      </c>
      <c r="N27" s="13">
        <f t="shared" si="2"/>
        <v>4235</v>
      </c>
      <c r="O27" s="118">
        <f t="shared" si="3"/>
        <v>4235</v>
      </c>
      <c r="P27" s="123">
        <v>3850</v>
      </c>
      <c r="Q27" s="1"/>
      <c r="R27" t="s">
        <v>34</v>
      </c>
    </row>
    <row r="28" spans="1:20" x14ac:dyDescent="0.25">
      <c r="A28" s="124" t="s">
        <v>10</v>
      </c>
      <c r="B28" s="13">
        <f t="shared" ref="B28:M28" si="5">$O28/12</f>
        <v>59.583333333333343</v>
      </c>
      <c r="C28" s="13">
        <f t="shared" si="5"/>
        <v>59.583333333333343</v>
      </c>
      <c r="D28" s="13">
        <f t="shared" si="5"/>
        <v>59.583333333333343</v>
      </c>
      <c r="E28" s="13">
        <f t="shared" si="5"/>
        <v>59.583333333333343</v>
      </c>
      <c r="F28" s="13">
        <f t="shared" si="5"/>
        <v>59.583333333333343</v>
      </c>
      <c r="G28" s="13">
        <f t="shared" si="5"/>
        <v>59.583333333333343</v>
      </c>
      <c r="H28" s="13">
        <f t="shared" si="5"/>
        <v>59.583333333333343</v>
      </c>
      <c r="I28" s="13">
        <f t="shared" si="5"/>
        <v>59.583333333333343</v>
      </c>
      <c r="J28" s="13">
        <f t="shared" si="5"/>
        <v>59.583333333333343</v>
      </c>
      <c r="K28" s="13">
        <f t="shared" si="5"/>
        <v>59.583333333333343</v>
      </c>
      <c r="L28" s="13">
        <f t="shared" si="5"/>
        <v>59.583333333333343</v>
      </c>
      <c r="M28" s="13">
        <f t="shared" si="5"/>
        <v>59.583333333333343</v>
      </c>
      <c r="N28" s="13">
        <f t="shared" si="2"/>
        <v>715.00000000000034</v>
      </c>
      <c r="O28" s="118">
        <f t="shared" si="3"/>
        <v>715.00000000000011</v>
      </c>
      <c r="P28" s="123">
        <v>650</v>
      </c>
      <c r="Q28" s="1">
        <f>SUM(O23:O28)</f>
        <v>15594.7</v>
      </c>
    </row>
    <row r="29" spans="1:20" x14ac:dyDescent="0.25">
      <c r="A29" s="124" t="s">
        <v>30</v>
      </c>
      <c r="B29" s="13">
        <f t="shared" ref="B29:M29" si="6">$O$29/12</f>
        <v>165.00000000000003</v>
      </c>
      <c r="C29" s="13">
        <f t="shared" si="6"/>
        <v>165.00000000000003</v>
      </c>
      <c r="D29" s="13">
        <f t="shared" si="6"/>
        <v>165.00000000000003</v>
      </c>
      <c r="E29" s="13">
        <f t="shared" si="6"/>
        <v>165.00000000000003</v>
      </c>
      <c r="F29" s="13">
        <f t="shared" si="6"/>
        <v>165.00000000000003</v>
      </c>
      <c r="G29" s="13">
        <f t="shared" si="6"/>
        <v>165.00000000000003</v>
      </c>
      <c r="H29" s="13">
        <f t="shared" si="6"/>
        <v>165.00000000000003</v>
      </c>
      <c r="I29" s="13">
        <f t="shared" si="6"/>
        <v>165.00000000000003</v>
      </c>
      <c r="J29" s="13">
        <f t="shared" si="6"/>
        <v>165.00000000000003</v>
      </c>
      <c r="K29" s="13">
        <f t="shared" si="6"/>
        <v>165.00000000000003</v>
      </c>
      <c r="L29" s="13">
        <f t="shared" si="6"/>
        <v>165.00000000000003</v>
      </c>
      <c r="M29" s="13">
        <f t="shared" si="6"/>
        <v>165.00000000000003</v>
      </c>
      <c r="N29" s="13">
        <f t="shared" si="2"/>
        <v>1980.0000000000002</v>
      </c>
      <c r="O29" s="118">
        <f t="shared" si="3"/>
        <v>1980.0000000000002</v>
      </c>
      <c r="P29" s="123">
        <v>1800</v>
      </c>
      <c r="Q29" s="1"/>
    </row>
    <row r="30" spans="1:20" s="26" customFormat="1" x14ac:dyDescent="0.25">
      <c r="A30" s="119" t="s">
        <v>130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18"/>
      <c r="P30" s="102"/>
      <c r="Q30" s="25"/>
    </row>
    <row r="31" spans="1:20" x14ac:dyDescent="0.25">
      <c r="A31" s="124" t="s">
        <v>11</v>
      </c>
      <c r="B31" s="13">
        <f t="shared" ref="B31:M36" si="7">$O31/12</f>
        <v>191.66666666666666</v>
      </c>
      <c r="C31" s="13">
        <f t="shared" si="7"/>
        <v>191.66666666666666</v>
      </c>
      <c r="D31" s="13">
        <f t="shared" si="7"/>
        <v>191.66666666666666</v>
      </c>
      <c r="E31" s="13">
        <f t="shared" si="7"/>
        <v>191.66666666666666</v>
      </c>
      <c r="F31" s="13">
        <f t="shared" si="7"/>
        <v>191.66666666666666</v>
      </c>
      <c r="G31" s="13">
        <f t="shared" si="7"/>
        <v>191.66666666666666</v>
      </c>
      <c r="H31" s="13">
        <f t="shared" si="7"/>
        <v>191.66666666666666</v>
      </c>
      <c r="I31" s="13">
        <f t="shared" si="7"/>
        <v>191.66666666666666</v>
      </c>
      <c r="J31" s="13">
        <f t="shared" si="7"/>
        <v>191.66666666666666</v>
      </c>
      <c r="K31" s="13">
        <f t="shared" si="7"/>
        <v>191.66666666666666</v>
      </c>
      <c r="L31" s="13">
        <f t="shared" si="7"/>
        <v>191.66666666666666</v>
      </c>
      <c r="M31" s="13">
        <f t="shared" si="7"/>
        <v>191.66666666666666</v>
      </c>
      <c r="N31" s="13">
        <f t="shared" ref="N31:N36" si="8">SUM(B31:M31)</f>
        <v>2300</v>
      </c>
      <c r="O31" s="15">
        <f t="shared" ref="O31:O36" si="9">P31</f>
        <v>2300</v>
      </c>
      <c r="P31" s="123">
        <v>2300</v>
      </c>
      <c r="Q31" s="1"/>
    </row>
    <row r="32" spans="1:20" x14ac:dyDescent="0.25">
      <c r="A32" s="124" t="s">
        <v>12</v>
      </c>
      <c r="B32" s="13">
        <f t="shared" si="7"/>
        <v>75</v>
      </c>
      <c r="C32" s="13">
        <f t="shared" si="7"/>
        <v>75</v>
      </c>
      <c r="D32" s="13">
        <f t="shared" si="7"/>
        <v>75</v>
      </c>
      <c r="E32" s="13">
        <f t="shared" si="7"/>
        <v>75</v>
      </c>
      <c r="F32" s="13">
        <f t="shared" si="7"/>
        <v>75</v>
      </c>
      <c r="G32" s="13">
        <f t="shared" si="7"/>
        <v>75</v>
      </c>
      <c r="H32" s="13">
        <f t="shared" si="7"/>
        <v>75</v>
      </c>
      <c r="I32" s="13">
        <f t="shared" si="7"/>
        <v>75</v>
      </c>
      <c r="J32" s="13">
        <f t="shared" si="7"/>
        <v>75</v>
      </c>
      <c r="K32" s="13">
        <f t="shared" si="7"/>
        <v>75</v>
      </c>
      <c r="L32" s="13">
        <f t="shared" si="7"/>
        <v>75</v>
      </c>
      <c r="M32" s="13">
        <f t="shared" si="7"/>
        <v>75</v>
      </c>
      <c r="N32" s="13">
        <f t="shared" si="8"/>
        <v>900</v>
      </c>
      <c r="O32" s="15">
        <f t="shared" si="9"/>
        <v>900</v>
      </c>
      <c r="P32" s="123">
        <v>900</v>
      </c>
      <c r="Q32" s="1"/>
    </row>
    <row r="33" spans="1:18" x14ac:dyDescent="0.25">
      <c r="A33" s="124" t="s">
        <v>81</v>
      </c>
      <c r="B33" s="13">
        <f t="shared" si="7"/>
        <v>1000</v>
      </c>
      <c r="C33" s="13">
        <f t="shared" si="7"/>
        <v>1000</v>
      </c>
      <c r="D33" s="13">
        <f t="shared" si="7"/>
        <v>1000</v>
      </c>
      <c r="E33" s="13">
        <f t="shared" si="7"/>
        <v>1000</v>
      </c>
      <c r="F33" s="13">
        <f t="shared" si="7"/>
        <v>1000</v>
      </c>
      <c r="G33" s="13">
        <f t="shared" si="7"/>
        <v>1000</v>
      </c>
      <c r="H33" s="13">
        <f t="shared" si="7"/>
        <v>1000</v>
      </c>
      <c r="I33" s="13">
        <f t="shared" si="7"/>
        <v>1000</v>
      </c>
      <c r="J33" s="13">
        <f t="shared" si="7"/>
        <v>1000</v>
      </c>
      <c r="K33" s="13">
        <f t="shared" si="7"/>
        <v>1000</v>
      </c>
      <c r="L33" s="13">
        <f t="shared" si="7"/>
        <v>1000</v>
      </c>
      <c r="M33" s="13">
        <f t="shared" si="7"/>
        <v>1000</v>
      </c>
      <c r="N33" s="13">
        <f t="shared" si="8"/>
        <v>12000</v>
      </c>
      <c r="O33" s="15">
        <f t="shared" si="9"/>
        <v>12000</v>
      </c>
      <c r="P33" s="123">
        <v>12000</v>
      </c>
      <c r="Q33" s="1"/>
    </row>
    <row r="34" spans="1:18" x14ac:dyDescent="0.25">
      <c r="A34" s="124" t="s">
        <v>49</v>
      </c>
      <c r="B34" s="13">
        <f t="shared" si="7"/>
        <v>283.33333333333331</v>
      </c>
      <c r="C34" s="13">
        <f t="shared" si="7"/>
        <v>283.33333333333331</v>
      </c>
      <c r="D34" s="13">
        <f t="shared" si="7"/>
        <v>283.33333333333331</v>
      </c>
      <c r="E34" s="13">
        <f t="shared" si="7"/>
        <v>283.33333333333331</v>
      </c>
      <c r="F34" s="13">
        <f t="shared" si="7"/>
        <v>283.33333333333331</v>
      </c>
      <c r="G34" s="13">
        <f t="shared" si="7"/>
        <v>283.33333333333331</v>
      </c>
      <c r="H34" s="13">
        <f t="shared" si="7"/>
        <v>283.33333333333331</v>
      </c>
      <c r="I34" s="13">
        <f t="shared" si="7"/>
        <v>283.33333333333331</v>
      </c>
      <c r="J34" s="13">
        <f t="shared" si="7"/>
        <v>283.33333333333331</v>
      </c>
      <c r="K34" s="13">
        <f t="shared" si="7"/>
        <v>283.33333333333331</v>
      </c>
      <c r="L34" s="13">
        <f t="shared" si="7"/>
        <v>283.33333333333331</v>
      </c>
      <c r="M34" s="13">
        <f t="shared" si="7"/>
        <v>283.33333333333331</v>
      </c>
      <c r="N34" s="13">
        <f t="shared" si="8"/>
        <v>3400.0000000000005</v>
      </c>
      <c r="O34" s="15">
        <f t="shared" si="9"/>
        <v>3400</v>
      </c>
      <c r="P34" s="123">
        <v>3400</v>
      </c>
      <c r="Q34" s="1"/>
    </row>
    <row r="35" spans="1:18" x14ac:dyDescent="0.25">
      <c r="A35" s="124" t="s">
        <v>14</v>
      </c>
      <c r="B35" s="13">
        <f t="shared" si="7"/>
        <v>583.33333333333337</v>
      </c>
      <c r="C35" s="13">
        <f t="shared" si="7"/>
        <v>583.33333333333337</v>
      </c>
      <c r="D35" s="13">
        <f t="shared" si="7"/>
        <v>583.33333333333337</v>
      </c>
      <c r="E35" s="13">
        <f t="shared" si="7"/>
        <v>583.33333333333337</v>
      </c>
      <c r="F35" s="13">
        <f t="shared" si="7"/>
        <v>583.33333333333337</v>
      </c>
      <c r="G35" s="13">
        <f t="shared" si="7"/>
        <v>583.33333333333337</v>
      </c>
      <c r="H35" s="13">
        <f t="shared" si="7"/>
        <v>583.33333333333337</v>
      </c>
      <c r="I35" s="13">
        <f t="shared" si="7"/>
        <v>583.33333333333337</v>
      </c>
      <c r="J35" s="13">
        <f t="shared" si="7"/>
        <v>583.33333333333337</v>
      </c>
      <c r="K35" s="13">
        <f t="shared" si="7"/>
        <v>583.33333333333337</v>
      </c>
      <c r="L35" s="13">
        <f t="shared" si="7"/>
        <v>583.33333333333337</v>
      </c>
      <c r="M35" s="13">
        <f t="shared" si="7"/>
        <v>583.33333333333337</v>
      </c>
      <c r="N35" s="13">
        <f t="shared" si="8"/>
        <v>6999.9999999999991</v>
      </c>
      <c r="O35" s="15">
        <f t="shared" si="9"/>
        <v>7000</v>
      </c>
      <c r="P35" s="123">
        <v>7000</v>
      </c>
      <c r="Q35" s="1"/>
    </row>
    <row r="36" spans="1:18" x14ac:dyDescent="0.25">
      <c r="A36" s="124" t="s">
        <v>52</v>
      </c>
      <c r="B36" s="13">
        <f t="shared" si="7"/>
        <v>213.83333333333334</v>
      </c>
      <c r="C36" s="13">
        <f t="shared" si="7"/>
        <v>213.83333333333334</v>
      </c>
      <c r="D36" s="13">
        <f t="shared" si="7"/>
        <v>213.83333333333334</v>
      </c>
      <c r="E36" s="13">
        <f t="shared" si="7"/>
        <v>213.83333333333334</v>
      </c>
      <c r="F36" s="13">
        <f t="shared" si="7"/>
        <v>213.83333333333334</v>
      </c>
      <c r="G36" s="13">
        <f t="shared" si="7"/>
        <v>213.83333333333334</v>
      </c>
      <c r="H36" s="13">
        <f t="shared" si="7"/>
        <v>213.83333333333334</v>
      </c>
      <c r="I36" s="13">
        <f t="shared" si="7"/>
        <v>213.83333333333334</v>
      </c>
      <c r="J36" s="13">
        <f t="shared" si="7"/>
        <v>213.83333333333334</v>
      </c>
      <c r="K36" s="13">
        <f t="shared" si="7"/>
        <v>213.83333333333334</v>
      </c>
      <c r="L36" s="13">
        <f t="shared" si="7"/>
        <v>213.83333333333334</v>
      </c>
      <c r="M36" s="13">
        <f t="shared" si="7"/>
        <v>213.83333333333334</v>
      </c>
      <c r="N36" s="13">
        <f t="shared" si="8"/>
        <v>2566</v>
      </c>
      <c r="O36" s="15">
        <f t="shared" si="9"/>
        <v>2566</v>
      </c>
      <c r="P36" s="123">
        <v>2566</v>
      </c>
      <c r="Q36" s="1"/>
    </row>
    <row r="37" spans="1:18" x14ac:dyDescent="0.25">
      <c r="A37" s="120" t="s">
        <v>132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5"/>
      <c r="P37" s="15"/>
      <c r="Q37" s="1"/>
    </row>
    <row r="38" spans="1:18" x14ac:dyDescent="0.25">
      <c r="A38" s="130" t="s">
        <v>103</v>
      </c>
      <c r="B38" s="13"/>
      <c r="C38" s="13"/>
      <c r="D38" s="13"/>
      <c r="E38" s="13"/>
      <c r="F38" s="13"/>
      <c r="G38" s="13"/>
      <c r="H38" s="13"/>
      <c r="I38" s="13">
        <v>5000</v>
      </c>
      <c r="J38" s="13"/>
      <c r="K38" s="13"/>
      <c r="L38" s="13"/>
      <c r="M38" s="13"/>
      <c r="N38" s="13">
        <f>SUM(B38:M38)</f>
        <v>5000</v>
      </c>
      <c r="O38" s="118">
        <v>5000</v>
      </c>
      <c r="P38" s="123">
        <f>O38*10/11</f>
        <v>4545.454545454545</v>
      </c>
      <c r="Q38" s="1"/>
    </row>
    <row r="39" spans="1:18" x14ac:dyDescent="0.25">
      <c r="A39" s="109" t="s">
        <v>36</v>
      </c>
      <c r="B39" s="13">
        <v>1160.44</v>
      </c>
      <c r="C39" s="13">
        <v>1160.44</v>
      </c>
      <c r="D39" s="13">
        <v>1160.44</v>
      </c>
      <c r="E39" s="13">
        <v>1160.44</v>
      </c>
      <c r="F39" s="13">
        <v>1160.44</v>
      </c>
      <c r="G39" s="13">
        <v>1160.44</v>
      </c>
      <c r="H39" s="13">
        <v>1160.44</v>
      </c>
      <c r="I39" s="13">
        <v>1160.44</v>
      </c>
      <c r="J39" s="13">
        <v>1160.44</v>
      </c>
      <c r="K39" s="13">
        <v>1160.44</v>
      </c>
      <c r="L39" s="13">
        <v>1160.44</v>
      </c>
      <c r="M39" s="13">
        <v>1160.44</v>
      </c>
      <c r="N39" s="13">
        <f>SUM(B39:M39)</f>
        <v>13925.280000000004</v>
      </c>
      <c r="O39" s="118">
        <v>13925</v>
      </c>
      <c r="P39" s="15"/>
      <c r="Q39" s="1"/>
      <c r="R39" t="s">
        <v>152</v>
      </c>
    </row>
    <row r="40" spans="1:18" x14ac:dyDescent="0.25">
      <c r="A40" s="109" t="s">
        <v>50</v>
      </c>
      <c r="B40" s="13">
        <v>23</v>
      </c>
      <c r="C40" s="13">
        <v>23</v>
      </c>
      <c r="D40" s="13">
        <v>23</v>
      </c>
      <c r="E40" s="13">
        <v>2693</v>
      </c>
      <c r="F40" s="13"/>
      <c r="G40" s="13"/>
      <c r="H40" s="13"/>
      <c r="I40" s="13"/>
      <c r="J40" s="13"/>
      <c r="K40" s="13"/>
      <c r="L40" s="13"/>
      <c r="M40" s="13"/>
      <c r="N40" s="13">
        <f>SUM(B40:M40)</f>
        <v>2762</v>
      </c>
      <c r="O40" s="118">
        <v>2762</v>
      </c>
      <c r="P40" s="15"/>
      <c r="Q40" s="1"/>
      <c r="R40" t="s">
        <v>152</v>
      </c>
    </row>
    <row r="41" spans="1:18" x14ac:dyDescent="0.25">
      <c r="A41" s="109" t="s">
        <v>51</v>
      </c>
      <c r="B41" s="13">
        <v>927</v>
      </c>
      <c r="C41" s="13">
        <v>927</v>
      </c>
      <c r="D41" s="13">
        <v>927</v>
      </c>
      <c r="E41" s="13">
        <v>927</v>
      </c>
      <c r="F41" s="13">
        <v>927</v>
      </c>
      <c r="G41" s="13">
        <v>927</v>
      </c>
      <c r="H41" s="13">
        <v>927</v>
      </c>
      <c r="I41" s="13">
        <v>927</v>
      </c>
      <c r="J41" s="13">
        <v>927</v>
      </c>
      <c r="K41" s="13">
        <v>927</v>
      </c>
      <c r="L41" s="13">
        <v>927</v>
      </c>
      <c r="M41" s="13">
        <v>927</v>
      </c>
      <c r="N41" s="13">
        <f>SUM(B41:M41)</f>
        <v>11124</v>
      </c>
      <c r="O41" s="118">
        <v>11124</v>
      </c>
      <c r="P41" s="15"/>
      <c r="Q41" s="1"/>
      <c r="R41" t="s">
        <v>152</v>
      </c>
    </row>
    <row r="42" spans="1:18" x14ac:dyDescent="0.25">
      <c r="A42" s="119" t="s">
        <v>133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02"/>
      <c r="P42" s="15"/>
      <c r="Q42" s="1"/>
    </row>
    <row r="43" spans="1:18" x14ac:dyDescent="0.25">
      <c r="A43" s="124" t="s">
        <v>45</v>
      </c>
      <c r="B43" s="13">
        <f t="shared" ref="B43:M43" si="10">$O43/12</f>
        <v>970.38333333333333</v>
      </c>
      <c r="C43" s="13">
        <f t="shared" si="10"/>
        <v>970.38333333333333</v>
      </c>
      <c r="D43" s="13">
        <f t="shared" si="10"/>
        <v>970.38333333333333</v>
      </c>
      <c r="E43" s="13">
        <f t="shared" si="10"/>
        <v>970.38333333333333</v>
      </c>
      <c r="F43" s="13">
        <f t="shared" si="10"/>
        <v>970.38333333333333</v>
      </c>
      <c r="G43" s="13">
        <f t="shared" si="10"/>
        <v>970.38333333333333</v>
      </c>
      <c r="H43" s="13">
        <f t="shared" si="10"/>
        <v>970.38333333333333</v>
      </c>
      <c r="I43" s="13">
        <f t="shared" si="10"/>
        <v>970.38333333333333</v>
      </c>
      <c r="J43" s="13">
        <f t="shared" si="10"/>
        <v>970.38333333333333</v>
      </c>
      <c r="K43" s="13">
        <f t="shared" si="10"/>
        <v>970.38333333333333</v>
      </c>
      <c r="L43" s="13">
        <f t="shared" si="10"/>
        <v>970.38333333333333</v>
      </c>
      <c r="M43" s="13">
        <f t="shared" si="10"/>
        <v>970.38333333333333</v>
      </c>
      <c r="N43" s="13">
        <f>SUM(B43:M43)</f>
        <v>11644.6</v>
      </c>
      <c r="O43" s="118">
        <f>P43*1.1</f>
        <v>11644.6</v>
      </c>
      <c r="P43" s="123">
        <v>10586</v>
      </c>
      <c r="Q43" s="1"/>
    </row>
    <row r="44" spans="1:18" x14ac:dyDescent="0.25">
      <c r="A44" s="130" t="s">
        <v>151</v>
      </c>
      <c r="B44" s="13"/>
      <c r="C44" s="13"/>
      <c r="D44" s="13"/>
      <c r="E44" s="13"/>
      <c r="F44" s="13"/>
      <c r="G44" s="13"/>
      <c r="H44" s="13"/>
      <c r="I44" s="13">
        <v>1200</v>
      </c>
      <c r="J44" s="13"/>
      <c r="K44" s="13"/>
      <c r="L44" s="13"/>
      <c r="M44" s="13"/>
      <c r="N44" s="13">
        <f>SUM(B44:M44)</f>
        <v>1200</v>
      </c>
      <c r="O44" s="118">
        <v>1200</v>
      </c>
      <c r="P44" s="123">
        <f>O44*10/11</f>
        <v>1090.909090909091</v>
      </c>
      <c r="Q44" s="1"/>
    </row>
    <row r="45" spans="1:18" x14ac:dyDescent="0.25">
      <c r="A45" s="124" t="s">
        <v>44</v>
      </c>
      <c r="B45" s="13">
        <f>O45/12</f>
        <v>7700.0000000000009</v>
      </c>
      <c r="C45" s="13">
        <f>O45/12</f>
        <v>7700.0000000000009</v>
      </c>
      <c r="D45" s="13">
        <f>O45/12</f>
        <v>7700.0000000000009</v>
      </c>
      <c r="E45" s="13">
        <f>O45/12</f>
        <v>7700.0000000000009</v>
      </c>
      <c r="F45" s="13">
        <f>O45/12</f>
        <v>7700.0000000000009</v>
      </c>
      <c r="G45" s="13">
        <f>O45/12</f>
        <v>7700.0000000000009</v>
      </c>
      <c r="H45" s="13">
        <f>O45/12</f>
        <v>7700.0000000000009</v>
      </c>
      <c r="I45" s="13">
        <f>O45/12</f>
        <v>7700.0000000000009</v>
      </c>
      <c r="J45" s="13">
        <f>O45/12</f>
        <v>7700.0000000000009</v>
      </c>
      <c r="K45" s="13">
        <f>O45/12</f>
        <v>7700.0000000000009</v>
      </c>
      <c r="L45" s="13">
        <f>O45/12</f>
        <v>7700.0000000000009</v>
      </c>
      <c r="M45" s="13">
        <f>O45/12</f>
        <v>7700.0000000000009</v>
      </c>
      <c r="N45" s="13">
        <f t="shared" si="2"/>
        <v>92400.000000000015</v>
      </c>
      <c r="O45" s="118">
        <f t="shared" si="3"/>
        <v>92400.000000000015</v>
      </c>
      <c r="P45" s="123">
        <v>84000</v>
      </c>
      <c r="Q45" s="1"/>
    </row>
    <row r="46" spans="1:18" x14ac:dyDescent="0.25">
      <c r="A46" s="124" t="s">
        <v>55</v>
      </c>
      <c r="B46" s="13">
        <f t="shared" ref="B46:M47" si="11">$O46/12</f>
        <v>929.95833333333337</v>
      </c>
      <c r="C46" s="13">
        <f t="shared" si="11"/>
        <v>929.95833333333337</v>
      </c>
      <c r="D46" s="13">
        <f t="shared" si="11"/>
        <v>929.95833333333337</v>
      </c>
      <c r="E46" s="13">
        <f t="shared" si="11"/>
        <v>929.95833333333337</v>
      </c>
      <c r="F46" s="13">
        <f t="shared" si="11"/>
        <v>929.95833333333337</v>
      </c>
      <c r="G46" s="13">
        <f t="shared" si="11"/>
        <v>929.95833333333337</v>
      </c>
      <c r="H46" s="13">
        <f t="shared" si="11"/>
        <v>929.95833333333337</v>
      </c>
      <c r="I46" s="13">
        <f t="shared" si="11"/>
        <v>929.95833333333337</v>
      </c>
      <c r="J46" s="13">
        <f t="shared" si="11"/>
        <v>929.95833333333337</v>
      </c>
      <c r="K46" s="13">
        <f t="shared" si="11"/>
        <v>929.95833333333337</v>
      </c>
      <c r="L46" s="13">
        <f t="shared" si="11"/>
        <v>929.95833333333337</v>
      </c>
      <c r="M46" s="13">
        <f t="shared" si="11"/>
        <v>929.95833333333337</v>
      </c>
      <c r="N46" s="13">
        <f t="shared" si="2"/>
        <v>11159.500000000002</v>
      </c>
      <c r="O46" s="118">
        <f t="shared" si="3"/>
        <v>11159.5</v>
      </c>
      <c r="P46" s="123">
        <v>10145</v>
      </c>
      <c r="Q46" s="1"/>
      <c r="R46" t="s">
        <v>46</v>
      </c>
    </row>
    <row r="47" spans="1:18" x14ac:dyDescent="0.25">
      <c r="A47" s="124" t="s">
        <v>31</v>
      </c>
      <c r="B47" s="13">
        <f t="shared" si="11"/>
        <v>320.83333333333337</v>
      </c>
      <c r="C47" s="13">
        <f t="shared" si="11"/>
        <v>320.83333333333337</v>
      </c>
      <c r="D47" s="13">
        <f t="shared" si="11"/>
        <v>320.83333333333337</v>
      </c>
      <c r="E47" s="13">
        <f t="shared" si="11"/>
        <v>320.83333333333337</v>
      </c>
      <c r="F47" s="13">
        <f t="shared" si="11"/>
        <v>320.83333333333337</v>
      </c>
      <c r="G47" s="13">
        <f t="shared" si="11"/>
        <v>320.83333333333337</v>
      </c>
      <c r="H47" s="13">
        <f t="shared" si="11"/>
        <v>320.83333333333337</v>
      </c>
      <c r="I47" s="13">
        <f t="shared" si="11"/>
        <v>320.83333333333337</v>
      </c>
      <c r="J47" s="13">
        <f t="shared" si="11"/>
        <v>320.83333333333337</v>
      </c>
      <c r="K47" s="13">
        <f t="shared" si="11"/>
        <v>320.83333333333337</v>
      </c>
      <c r="L47" s="13">
        <f t="shared" si="11"/>
        <v>320.83333333333337</v>
      </c>
      <c r="M47" s="13">
        <f t="shared" si="11"/>
        <v>320.83333333333337</v>
      </c>
      <c r="N47" s="13">
        <f t="shared" si="2"/>
        <v>3850.0000000000014</v>
      </c>
      <c r="O47" s="118">
        <f t="shared" si="3"/>
        <v>3850.0000000000005</v>
      </c>
      <c r="P47" s="123">
        <v>3500</v>
      </c>
      <c r="Q47" s="1"/>
    </row>
    <row r="48" spans="1:18" x14ac:dyDescent="0.25">
      <c r="A48" s="124" t="s">
        <v>32</v>
      </c>
      <c r="B48" s="13">
        <f t="shared" ref="B48:M48" si="12">$O48/12</f>
        <v>210.83333333333334</v>
      </c>
      <c r="C48" s="13">
        <f t="shared" si="12"/>
        <v>210.83333333333334</v>
      </c>
      <c r="D48" s="13">
        <f t="shared" si="12"/>
        <v>210.83333333333334</v>
      </c>
      <c r="E48" s="13">
        <f t="shared" si="12"/>
        <v>210.83333333333334</v>
      </c>
      <c r="F48" s="13">
        <f t="shared" si="12"/>
        <v>210.83333333333334</v>
      </c>
      <c r="G48" s="13">
        <f t="shared" si="12"/>
        <v>210.83333333333334</v>
      </c>
      <c r="H48" s="13">
        <f t="shared" si="12"/>
        <v>210.83333333333334</v>
      </c>
      <c r="I48" s="13">
        <f t="shared" si="12"/>
        <v>210.83333333333334</v>
      </c>
      <c r="J48" s="13">
        <f t="shared" si="12"/>
        <v>210.83333333333334</v>
      </c>
      <c r="K48" s="13">
        <f t="shared" si="12"/>
        <v>210.83333333333334</v>
      </c>
      <c r="L48" s="13">
        <f t="shared" si="12"/>
        <v>210.83333333333334</v>
      </c>
      <c r="M48" s="13">
        <f t="shared" si="12"/>
        <v>210.83333333333334</v>
      </c>
      <c r="N48" s="13">
        <f t="shared" si="2"/>
        <v>2530</v>
      </c>
      <c r="O48" s="118">
        <f t="shared" si="3"/>
        <v>2530</v>
      </c>
      <c r="P48" s="123">
        <v>2300</v>
      </c>
      <c r="Q48" s="1"/>
    </row>
    <row r="49" spans="1:18" x14ac:dyDescent="0.25">
      <c r="A49" s="124" t="s">
        <v>47</v>
      </c>
      <c r="B49" s="13">
        <f t="shared" ref="B49:M49" si="13">$O49/12</f>
        <v>599.50000000000011</v>
      </c>
      <c r="C49" s="13">
        <f t="shared" si="13"/>
        <v>599.50000000000011</v>
      </c>
      <c r="D49" s="13">
        <f t="shared" si="13"/>
        <v>599.50000000000011</v>
      </c>
      <c r="E49" s="13">
        <f t="shared" si="13"/>
        <v>599.50000000000011</v>
      </c>
      <c r="F49" s="13">
        <f t="shared" si="13"/>
        <v>599.50000000000011</v>
      </c>
      <c r="G49" s="13">
        <f t="shared" si="13"/>
        <v>599.50000000000011</v>
      </c>
      <c r="H49" s="13">
        <f t="shared" si="13"/>
        <v>599.50000000000011</v>
      </c>
      <c r="I49" s="13">
        <f t="shared" si="13"/>
        <v>599.50000000000011</v>
      </c>
      <c r="J49" s="13">
        <f t="shared" si="13"/>
        <v>599.50000000000011</v>
      </c>
      <c r="K49" s="13">
        <f t="shared" si="13"/>
        <v>599.50000000000011</v>
      </c>
      <c r="L49" s="13">
        <f t="shared" si="13"/>
        <v>599.50000000000011</v>
      </c>
      <c r="M49" s="13">
        <f t="shared" si="13"/>
        <v>599.50000000000011</v>
      </c>
      <c r="N49" s="13">
        <f t="shared" si="2"/>
        <v>7194.0000000000009</v>
      </c>
      <c r="O49" s="118">
        <f t="shared" si="3"/>
        <v>7194.0000000000009</v>
      </c>
      <c r="P49" s="123">
        <v>6540</v>
      </c>
      <c r="Q49" s="1"/>
    </row>
    <row r="50" spans="1:18" x14ac:dyDescent="0.25">
      <c r="A50" s="124" t="s">
        <v>15</v>
      </c>
      <c r="B50" s="13">
        <f t="shared" ref="B50:M50" si="14">$O50/12</f>
        <v>100.83333333333333</v>
      </c>
      <c r="C50" s="13">
        <f t="shared" si="14"/>
        <v>100.83333333333333</v>
      </c>
      <c r="D50" s="13">
        <f t="shared" si="14"/>
        <v>100.83333333333333</v>
      </c>
      <c r="E50" s="13">
        <f t="shared" si="14"/>
        <v>100.83333333333333</v>
      </c>
      <c r="F50" s="13">
        <f t="shared" si="14"/>
        <v>100.83333333333333</v>
      </c>
      <c r="G50" s="13">
        <f t="shared" si="14"/>
        <v>100.83333333333333</v>
      </c>
      <c r="H50" s="13">
        <f t="shared" si="14"/>
        <v>100.83333333333333</v>
      </c>
      <c r="I50" s="13">
        <f t="shared" si="14"/>
        <v>100.83333333333333</v>
      </c>
      <c r="J50" s="13">
        <f t="shared" si="14"/>
        <v>100.83333333333333</v>
      </c>
      <c r="K50" s="13">
        <f t="shared" si="14"/>
        <v>100.83333333333333</v>
      </c>
      <c r="L50" s="13">
        <f t="shared" si="14"/>
        <v>100.83333333333333</v>
      </c>
      <c r="M50" s="13">
        <f t="shared" si="14"/>
        <v>100.83333333333333</v>
      </c>
      <c r="N50" s="13">
        <f t="shared" si="2"/>
        <v>1210</v>
      </c>
      <c r="O50" s="118">
        <f t="shared" si="3"/>
        <v>1210</v>
      </c>
      <c r="P50" s="123">
        <v>1100</v>
      </c>
      <c r="Q50" s="1"/>
    </row>
    <row r="51" spans="1:18" x14ac:dyDescent="0.25">
      <c r="A51" s="124" t="s">
        <v>48</v>
      </c>
      <c r="B51" s="13">
        <v>770</v>
      </c>
      <c r="C51" s="13">
        <f t="shared" ref="C51:M51" si="15">$O51/12</f>
        <v>769.72500000000002</v>
      </c>
      <c r="D51" s="13">
        <f t="shared" si="15"/>
        <v>769.72500000000002</v>
      </c>
      <c r="E51" s="13">
        <f t="shared" si="15"/>
        <v>769.72500000000002</v>
      </c>
      <c r="F51" s="13">
        <f t="shared" si="15"/>
        <v>769.72500000000002</v>
      </c>
      <c r="G51" s="13">
        <f t="shared" si="15"/>
        <v>769.72500000000002</v>
      </c>
      <c r="H51" s="13">
        <f t="shared" si="15"/>
        <v>769.72500000000002</v>
      </c>
      <c r="I51" s="13">
        <f t="shared" si="15"/>
        <v>769.72500000000002</v>
      </c>
      <c r="J51" s="13">
        <f t="shared" si="15"/>
        <v>769.72500000000002</v>
      </c>
      <c r="K51" s="13">
        <f t="shared" si="15"/>
        <v>769.72500000000002</v>
      </c>
      <c r="L51" s="13">
        <f t="shared" si="15"/>
        <v>769.72500000000002</v>
      </c>
      <c r="M51" s="13">
        <f t="shared" si="15"/>
        <v>769.72500000000002</v>
      </c>
      <c r="N51" s="13">
        <f t="shared" si="2"/>
        <v>9236.9750000000022</v>
      </c>
      <c r="O51" s="118">
        <f t="shared" si="3"/>
        <v>9236.7000000000007</v>
      </c>
      <c r="P51" s="123">
        <v>8397</v>
      </c>
      <c r="Q51" s="1"/>
    </row>
    <row r="52" spans="1:18" x14ac:dyDescent="0.25">
      <c r="A52" s="124" t="s">
        <v>13</v>
      </c>
      <c r="B52" s="13">
        <f t="shared" ref="B52:M52" si="16">$O52/12</f>
        <v>595.92500000000007</v>
      </c>
      <c r="C52" s="13">
        <f t="shared" si="16"/>
        <v>595.92500000000007</v>
      </c>
      <c r="D52" s="13">
        <f t="shared" si="16"/>
        <v>595.92500000000007</v>
      </c>
      <c r="E52" s="13">
        <f t="shared" si="16"/>
        <v>595.92500000000007</v>
      </c>
      <c r="F52" s="13">
        <f t="shared" si="16"/>
        <v>595.92500000000007</v>
      </c>
      <c r="G52" s="13">
        <f t="shared" si="16"/>
        <v>595.92500000000007</v>
      </c>
      <c r="H52" s="13">
        <f t="shared" si="16"/>
        <v>595.92500000000007</v>
      </c>
      <c r="I52" s="13">
        <f t="shared" si="16"/>
        <v>595.92500000000007</v>
      </c>
      <c r="J52" s="13">
        <f t="shared" si="16"/>
        <v>595.92500000000007</v>
      </c>
      <c r="K52" s="13">
        <f t="shared" si="16"/>
        <v>595.92500000000007</v>
      </c>
      <c r="L52" s="13">
        <f t="shared" si="16"/>
        <v>595.92500000000007</v>
      </c>
      <c r="M52" s="13">
        <f t="shared" si="16"/>
        <v>595.92500000000007</v>
      </c>
      <c r="N52" s="13">
        <f t="shared" si="2"/>
        <v>7151.1000000000013</v>
      </c>
      <c r="O52" s="118">
        <f t="shared" si="3"/>
        <v>7151.1</v>
      </c>
      <c r="P52" s="123">
        <v>6501</v>
      </c>
      <c r="Q52" s="1"/>
    </row>
    <row r="53" spans="1:18" x14ac:dyDescent="0.25">
      <c r="A53" s="124" t="s">
        <v>9</v>
      </c>
      <c r="B53" s="13">
        <v>3120</v>
      </c>
      <c r="C53" s="13">
        <v>0</v>
      </c>
      <c r="D53" s="13">
        <v>0</v>
      </c>
      <c r="E53" s="13">
        <v>3200</v>
      </c>
      <c r="F53" s="13">
        <v>0</v>
      </c>
      <c r="G53" s="13">
        <v>0</v>
      </c>
      <c r="H53" s="13">
        <v>3200</v>
      </c>
      <c r="I53" s="13">
        <v>0</v>
      </c>
      <c r="J53" s="13">
        <v>0</v>
      </c>
      <c r="K53" s="13">
        <v>3200</v>
      </c>
      <c r="L53" s="13">
        <v>0</v>
      </c>
      <c r="M53" s="13">
        <v>0</v>
      </c>
      <c r="N53" s="13">
        <f>SUM(B53:M53)</f>
        <v>12720</v>
      </c>
      <c r="O53" s="118">
        <f t="shared" si="3"/>
        <v>12720.400000000001</v>
      </c>
      <c r="P53" s="123">
        <v>11564</v>
      </c>
      <c r="Q53" s="1"/>
      <c r="R53" t="s">
        <v>35</v>
      </c>
    </row>
    <row r="54" spans="1:18" x14ac:dyDescent="0.25">
      <c r="A54" s="124" t="s">
        <v>16</v>
      </c>
      <c r="B54" s="13">
        <f t="shared" ref="B54:M54" si="17">$O54/12</f>
        <v>339.16666666666669</v>
      </c>
      <c r="C54" s="13">
        <f t="shared" si="17"/>
        <v>339.16666666666669</v>
      </c>
      <c r="D54" s="13">
        <f t="shared" si="17"/>
        <v>339.16666666666669</v>
      </c>
      <c r="E54" s="13">
        <f t="shared" si="17"/>
        <v>339.16666666666669</v>
      </c>
      <c r="F54" s="13">
        <f t="shared" si="17"/>
        <v>339.16666666666669</v>
      </c>
      <c r="G54" s="13">
        <f t="shared" si="17"/>
        <v>339.16666666666669</v>
      </c>
      <c r="H54" s="13">
        <f t="shared" si="17"/>
        <v>339.16666666666669</v>
      </c>
      <c r="I54" s="13">
        <f t="shared" si="17"/>
        <v>339.16666666666669</v>
      </c>
      <c r="J54" s="13">
        <f t="shared" si="17"/>
        <v>339.16666666666669</v>
      </c>
      <c r="K54" s="13">
        <f t="shared" si="17"/>
        <v>339.16666666666669</v>
      </c>
      <c r="L54" s="13">
        <f t="shared" si="17"/>
        <v>339.16666666666669</v>
      </c>
      <c r="M54" s="13">
        <f t="shared" si="17"/>
        <v>339.16666666666669</v>
      </c>
      <c r="N54" s="13">
        <f>SUM(B54:M54)</f>
        <v>4069.9999999999995</v>
      </c>
      <c r="O54" s="118">
        <f t="shared" si="3"/>
        <v>4070.0000000000005</v>
      </c>
      <c r="P54" s="123">
        <v>3700</v>
      </c>
      <c r="Q54" s="1"/>
      <c r="R54" s="23"/>
    </row>
    <row r="55" spans="1:18" x14ac:dyDescent="0.25">
      <c r="A55" s="124" t="s">
        <v>53</v>
      </c>
      <c r="B55" s="13">
        <v>0</v>
      </c>
      <c r="C55" s="13">
        <v>0</v>
      </c>
      <c r="D55" s="13">
        <v>4120</v>
      </c>
      <c r="E55" s="13">
        <v>0</v>
      </c>
      <c r="F55" s="13">
        <v>0</v>
      </c>
      <c r="G55" s="13">
        <v>0</v>
      </c>
      <c r="H55" s="13">
        <v>6354</v>
      </c>
      <c r="I55" s="13">
        <v>0</v>
      </c>
      <c r="J55" s="13">
        <v>0</v>
      </c>
      <c r="K55" s="13">
        <v>0</v>
      </c>
      <c r="L55" s="13">
        <v>2125</v>
      </c>
      <c r="M55" s="13">
        <v>0</v>
      </c>
      <c r="N55" s="13">
        <f t="shared" si="2"/>
        <v>12599</v>
      </c>
      <c r="O55" s="118">
        <f t="shared" si="3"/>
        <v>12599.400000000001</v>
      </c>
      <c r="P55" s="123">
        <v>11454</v>
      </c>
      <c r="Q55" s="1"/>
    </row>
    <row r="56" spans="1:18" s="26" customFormat="1" x14ac:dyDescent="0.25">
      <c r="A56" s="109" t="s">
        <v>56</v>
      </c>
      <c r="B56" s="21">
        <v>3250</v>
      </c>
      <c r="C56" s="21"/>
      <c r="D56" s="21"/>
      <c r="E56" s="21">
        <v>3250</v>
      </c>
      <c r="F56" s="21"/>
      <c r="G56" s="21"/>
      <c r="H56" s="21">
        <v>3250</v>
      </c>
      <c r="I56" s="21"/>
      <c r="J56" s="21"/>
      <c r="K56" s="21">
        <v>3250</v>
      </c>
      <c r="L56" s="21"/>
      <c r="M56" s="21"/>
      <c r="N56" s="13">
        <f t="shared" si="2"/>
        <v>13000</v>
      </c>
      <c r="O56" s="101">
        <f t="shared" ref="O56" si="18">P56</f>
        <v>13000</v>
      </c>
      <c r="P56" s="102">
        <v>13000</v>
      </c>
      <c r="Q56" s="25"/>
      <c r="R56" s="26" t="s">
        <v>35</v>
      </c>
    </row>
    <row r="57" spans="1:18" x14ac:dyDescent="0.25">
      <c r="A57" s="14" t="s">
        <v>17</v>
      </c>
      <c r="B57" s="16">
        <f t="shared" ref="B57:O57" si="19">SUM(B14:B56)</f>
        <v>93151.18102564101</v>
      </c>
      <c r="C57" s="16">
        <f t="shared" si="19"/>
        <v>74130.559871794874</v>
      </c>
      <c r="D57" s="16">
        <f t="shared" si="19"/>
        <v>68251.906025641045</v>
      </c>
      <c r="E57" s="16">
        <f t="shared" si="19"/>
        <v>82454.15357109558</v>
      </c>
      <c r="F57" s="16">
        <f t="shared" si="19"/>
        <v>69208.90602564103</v>
      </c>
      <c r="G57" s="16">
        <f t="shared" si="19"/>
        <v>69782.90602564103</v>
      </c>
      <c r="H57" s="16">
        <f t="shared" si="19"/>
        <v>101897.01045034031</v>
      </c>
      <c r="I57" s="16">
        <f t="shared" si="19"/>
        <v>72308.90602564103</v>
      </c>
      <c r="J57" s="16">
        <f t="shared" si="19"/>
        <v>65508.906025641045</v>
      </c>
      <c r="K57" s="16">
        <f t="shared" si="19"/>
        <v>82577.091361582119</v>
      </c>
      <c r="L57" s="16">
        <f t="shared" si="19"/>
        <v>64233.906025641045</v>
      </c>
      <c r="M57" s="16">
        <f t="shared" si="19"/>
        <v>66943.906025641059</v>
      </c>
      <c r="N57" s="16">
        <f t="shared" si="19"/>
        <v>910449.33845994121</v>
      </c>
      <c r="O57" s="15">
        <f t="shared" si="19"/>
        <v>910449.28345994104</v>
      </c>
      <c r="Q57" s="104"/>
      <c r="R57" s="105"/>
    </row>
    <row r="58" spans="1:18" ht="28.5" customHeight="1" x14ac:dyDescent="0.25">
      <c r="A58" s="6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10">
        <f>SUM(B57:M57)</f>
        <v>910449.33845994109</v>
      </c>
      <c r="O58" s="127" t="s">
        <v>122</v>
      </c>
      <c r="Q58" s="104"/>
      <c r="R58" s="105"/>
    </row>
    <row r="59" spans="1:18" x14ac:dyDescent="0.25">
      <c r="A59" s="6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11">
        <f>SUM(B14:M56)</f>
        <v>910449.33845994296</v>
      </c>
      <c r="P59" s="103"/>
      <c r="Q59" s="104"/>
      <c r="R59" s="105"/>
    </row>
    <row r="60" spans="1:18" x14ac:dyDescent="0.25">
      <c r="A60" s="14" t="s">
        <v>18</v>
      </c>
      <c r="B60" s="19">
        <f t="shared" ref="B60:M60" si="20">B11-B57</f>
        <v>-25339.481025641013</v>
      </c>
      <c r="C60" s="19">
        <f t="shared" si="20"/>
        <v>-4009.3698717948719</v>
      </c>
      <c r="D60" s="19">
        <f t="shared" si="20"/>
        <v>3850.4269743589539</v>
      </c>
      <c r="E60" s="19">
        <f t="shared" si="20"/>
        <v>-6706.9204710955673</v>
      </c>
      <c r="F60" s="19">
        <f t="shared" si="20"/>
        <v>10086.945894358956</v>
      </c>
      <c r="G60" s="19">
        <f t="shared" si="20"/>
        <v>13669.19031835896</v>
      </c>
      <c r="H60" s="19">
        <f t="shared" si="20"/>
        <v>-19450.543009540328</v>
      </c>
      <c r="I60" s="19">
        <f t="shared" si="20"/>
        <v>7948.6211829189706</v>
      </c>
      <c r="J60" s="19">
        <f t="shared" si="20"/>
        <v>14431.363020350953</v>
      </c>
      <c r="K60" s="19">
        <f t="shared" si="20"/>
        <v>-1778.9030293877295</v>
      </c>
      <c r="L60" s="19">
        <f t="shared" si="20"/>
        <v>17758.825806895024</v>
      </c>
      <c r="M60" s="19">
        <f t="shared" si="20"/>
        <v>15939.006257134184</v>
      </c>
      <c r="N60" s="19"/>
      <c r="O60" s="8"/>
      <c r="P60" s="19"/>
      <c r="Q60" s="1"/>
    </row>
    <row r="61" spans="1:18" x14ac:dyDescent="0.25">
      <c r="A61" s="17" t="s">
        <v>19</v>
      </c>
      <c r="B61" s="112">
        <f t="shared" ref="B61:M61" si="21">B8+B60</f>
        <v>-27289.481025641013</v>
      </c>
      <c r="C61" s="112">
        <f t="shared" si="21"/>
        <v>-31298.850897435885</v>
      </c>
      <c r="D61" s="112">
        <f t="shared" si="21"/>
        <v>-27448.423923076931</v>
      </c>
      <c r="E61" s="112">
        <f t="shared" si="21"/>
        <v>-34155.344394172498</v>
      </c>
      <c r="F61" s="112">
        <f t="shared" si="21"/>
        <v>-24068.398499813542</v>
      </c>
      <c r="G61" s="112">
        <f t="shared" si="21"/>
        <v>-10399.208181454582</v>
      </c>
      <c r="H61" s="112">
        <f t="shared" si="21"/>
        <v>-29849.75119099491</v>
      </c>
      <c r="I61" s="112">
        <f t="shared" si="21"/>
        <v>-21901.130008075939</v>
      </c>
      <c r="J61" s="112">
        <f t="shared" si="21"/>
        <v>-7469.7669877249864</v>
      </c>
      <c r="K61" s="112">
        <f t="shared" si="21"/>
        <v>-9248.6700171127159</v>
      </c>
      <c r="L61" s="112">
        <f t="shared" si="21"/>
        <v>8510.1557897823077</v>
      </c>
      <c r="M61" s="113">
        <f t="shared" si="21"/>
        <v>24449.162046916492</v>
      </c>
      <c r="N61" s="113"/>
      <c r="O61" s="18"/>
      <c r="P61" s="16"/>
      <c r="Q61" s="1"/>
    </row>
    <row r="62" spans="1:18" ht="14.25" customHeight="1" x14ac:dyDescent="0.25">
      <c r="A62" s="2" t="s">
        <v>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5"/>
      <c r="P62" s="5"/>
      <c r="Q62" s="1"/>
    </row>
    <row r="63" spans="1:18" x14ac:dyDescent="0.25">
      <c r="A63" t="s">
        <v>136</v>
      </c>
      <c r="B63" s="1">
        <v>2</v>
      </c>
      <c r="C63" s="1">
        <v>3</v>
      </c>
      <c r="D63" s="1">
        <v>2</v>
      </c>
      <c r="E63" s="1">
        <v>2</v>
      </c>
      <c r="F63" s="1">
        <v>2</v>
      </c>
      <c r="G63" s="1">
        <v>2</v>
      </c>
      <c r="H63" s="1">
        <v>3</v>
      </c>
      <c r="I63" s="1">
        <v>2</v>
      </c>
      <c r="J63" s="1">
        <v>2</v>
      </c>
      <c r="K63" s="1">
        <v>2</v>
      </c>
      <c r="L63" s="1">
        <v>2</v>
      </c>
      <c r="M63" s="1">
        <v>2</v>
      </c>
      <c r="N63" s="1"/>
      <c r="O63" s="5">
        <f>SUM(B63:M63)</f>
        <v>26</v>
      </c>
      <c r="P63" s="5"/>
      <c r="Q63" s="1"/>
    </row>
    <row r="64" spans="1:18" x14ac:dyDescent="0.25">
      <c r="A64" s="129" t="s">
        <v>137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5"/>
      <c r="P64" s="5"/>
      <c r="Q64" s="1"/>
    </row>
    <row r="65" spans="1:17" x14ac:dyDescent="0.25">
      <c r="A65" t="s">
        <v>23</v>
      </c>
      <c r="B65" s="1"/>
      <c r="C65" s="1"/>
      <c r="D65" s="1"/>
      <c r="E65" s="1"/>
      <c r="F65" s="1"/>
      <c r="G65" s="1"/>
      <c r="H65" s="128" t="s">
        <v>121</v>
      </c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t="s">
        <v>24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7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7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7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7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7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7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7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7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7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2:14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2:14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2:14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2:14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2:14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2:14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2:14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2:14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2:14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2:14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2:14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2:14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2:14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2:14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2:14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2:14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2:14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</sheetData>
  <mergeCells count="3">
    <mergeCell ref="A1:O1"/>
    <mergeCell ref="A2:O2"/>
    <mergeCell ref="A3:O3"/>
  </mergeCells>
  <pageMargins left="1.4173228346456694" right="0.23622047244094491" top="0.74803149606299213" bottom="0.74803149606299213" header="0.31496062992125984" footer="0.31496062992125984"/>
  <pageSetup paperSize="8" scale="61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workbookViewId="0">
      <selection activeCell="P11" sqref="P11"/>
    </sheetView>
  </sheetViews>
  <sheetFormatPr defaultRowHeight="15" x14ac:dyDescent="0.25"/>
  <cols>
    <col min="1" max="1" width="14.5703125" customWidth="1"/>
    <col min="2" max="2" width="17.85546875" customWidth="1"/>
    <col min="3" max="3" width="18" customWidth="1"/>
    <col min="4" max="4" width="15" customWidth="1"/>
    <col min="5" max="5" width="17.28515625" customWidth="1"/>
    <col min="6" max="6" width="13.7109375" customWidth="1"/>
    <col min="7" max="7" width="14" customWidth="1"/>
    <col min="8" max="8" width="11.140625" customWidth="1"/>
    <col min="13" max="13" width="11.28515625" customWidth="1"/>
    <col min="15" max="15" width="14.140625" customWidth="1"/>
    <col min="16" max="16" width="11.140625" bestFit="1" customWidth="1"/>
  </cols>
  <sheetData>
    <row r="1" spans="2:17" x14ac:dyDescent="0.25">
      <c r="B1" t="s">
        <v>157</v>
      </c>
    </row>
    <row r="2" spans="2:17" x14ac:dyDescent="0.25">
      <c r="B2" t="s">
        <v>114</v>
      </c>
    </row>
    <row r="3" spans="2:17" x14ac:dyDescent="0.25">
      <c r="B3" t="s">
        <v>156</v>
      </c>
    </row>
    <row r="4" spans="2:17" x14ac:dyDescent="0.25">
      <c r="B4" t="s">
        <v>116</v>
      </c>
    </row>
    <row r="6" spans="2:17" x14ac:dyDescent="0.25">
      <c r="B6" s="7"/>
      <c r="C6" s="7"/>
      <c r="D6" s="58"/>
      <c r="E6" s="58"/>
      <c r="F6" s="58"/>
      <c r="G6" s="58"/>
      <c r="H6" s="58"/>
      <c r="I6" s="59"/>
      <c r="J6" s="59"/>
      <c r="K6" s="59"/>
      <c r="L6" s="59"/>
      <c r="M6" s="59"/>
      <c r="N6" s="59"/>
    </row>
    <row r="7" spans="2:17" x14ac:dyDescent="0.25">
      <c r="B7" s="60" t="s">
        <v>104</v>
      </c>
      <c r="C7" s="61" t="s">
        <v>91</v>
      </c>
      <c r="D7" s="61" t="s">
        <v>92</v>
      </c>
      <c r="E7" s="61" t="s">
        <v>93</v>
      </c>
      <c r="F7" s="61" t="s">
        <v>94</v>
      </c>
      <c r="G7" s="61" t="s">
        <v>95</v>
      </c>
      <c r="H7" s="61" t="s">
        <v>96</v>
      </c>
      <c r="I7" s="62" t="s">
        <v>97</v>
      </c>
      <c r="J7" s="62" t="s">
        <v>98</v>
      </c>
      <c r="K7" s="62" t="s">
        <v>105</v>
      </c>
      <c r="L7" s="62" t="s">
        <v>100</v>
      </c>
      <c r="M7" s="62" t="s">
        <v>101</v>
      </c>
      <c r="N7" s="62" t="s">
        <v>102</v>
      </c>
      <c r="O7" s="63" t="s">
        <v>106</v>
      </c>
      <c r="P7" s="72" t="s">
        <v>40</v>
      </c>
    </row>
    <row r="8" spans="2:17" ht="27" x14ac:dyDescent="0.25">
      <c r="B8" s="61" t="s">
        <v>107</v>
      </c>
      <c r="C8" s="64">
        <v>101839</v>
      </c>
      <c r="D8" s="64">
        <f xml:space="preserve"> 0.7*C8 + 0.45*C9</f>
        <v>102337.29999999999</v>
      </c>
      <c r="E8" s="64">
        <f t="shared" ref="E8:N8" si="0" xml:space="preserve"> 0.7*D8 + 0.45*D9</f>
        <v>104486.10999999999</v>
      </c>
      <c r="F8" s="64">
        <f t="shared" si="0"/>
        <v>107104.02699999999</v>
      </c>
      <c r="G8" s="64">
        <f t="shared" si="0"/>
        <v>111319.50639999998</v>
      </c>
      <c r="H8" s="64">
        <f t="shared" si="0"/>
        <v>116173.65447999998</v>
      </c>
      <c r="I8" s="64">
        <f t="shared" si="0"/>
        <v>121821.55813599998</v>
      </c>
      <c r="J8" s="64">
        <f t="shared" si="0"/>
        <v>123525.09069519998</v>
      </c>
      <c r="K8" s="64">
        <f t="shared" si="0"/>
        <v>122467.56348663998</v>
      </c>
      <c r="L8" s="64">
        <f t="shared" si="0"/>
        <v>121727.29444064798</v>
      </c>
      <c r="M8" s="64">
        <f t="shared" si="0"/>
        <v>122109.10610845358</v>
      </c>
      <c r="N8" s="64">
        <f t="shared" si="0"/>
        <v>123276.37427591749</v>
      </c>
      <c r="O8" s="70"/>
    </row>
    <row r="9" spans="2:17" x14ac:dyDescent="0.25">
      <c r="B9" s="65" t="s">
        <v>108</v>
      </c>
      <c r="C9" s="66">
        <v>69000</v>
      </c>
      <c r="D9" s="66">
        <v>73000</v>
      </c>
      <c r="E9" s="66">
        <v>75475</v>
      </c>
      <c r="F9" s="66">
        <v>80770.416666666672</v>
      </c>
      <c r="G9" s="66">
        <v>85000</v>
      </c>
      <c r="H9" s="66">
        <v>90000</v>
      </c>
      <c r="I9" s="66">
        <v>85000</v>
      </c>
      <c r="J9" s="66">
        <v>80000</v>
      </c>
      <c r="K9" s="66">
        <v>80000</v>
      </c>
      <c r="L9" s="66">
        <v>82000</v>
      </c>
      <c r="M9" s="66">
        <v>84000</v>
      </c>
      <c r="N9" s="66">
        <v>85000</v>
      </c>
      <c r="O9" s="107">
        <f>SUM(C9:N9)</f>
        <v>969245.41666666674</v>
      </c>
      <c r="P9" s="73" t="s">
        <v>117</v>
      </c>
    </row>
    <row r="10" spans="2:17" x14ac:dyDescent="0.25">
      <c r="B10" s="61" t="s">
        <v>109</v>
      </c>
      <c r="C10" s="62">
        <f>SUM(C8:C9)</f>
        <v>170839</v>
      </c>
      <c r="D10" s="62">
        <f t="shared" ref="D10" si="1">SUM(D8:D9)</f>
        <v>175337.3</v>
      </c>
      <c r="E10" s="62">
        <f t="shared" ref="E10" si="2">SUM(E8:E9)</f>
        <v>179961.11</v>
      </c>
      <c r="F10" s="62">
        <f t="shared" ref="F10" si="3">SUM(F8:F9)</f>
        <v>187874.44366666666</v>
      </c>
      <c r="G10" s="62">
        <f t="shared" ref="G10" si="4">SUM(G8:G9)</f>
        <v>196319.50639999998</v>
      </c>
      <c r="H10" s="62">
        <f t="shared" ref="H10" si="5">SUM(H8:H9)</f>
        <v>206173.65447999997</v>
      </c>
      <c r="I10" s="62">
        <f t="shared" ref="I10" si="6">SUM(I8:I9)</f>
        <v>206821.55813599998</v>
      </c>
      <c r="J10" s="62">
        <f t="shared" ref="J10" si="7">SUM(J8:J9)</f>
        <v>203525.09069519996</v>
      </c>
      <c r="K10" s="62">
        <f t="shared" ref="K10" si="8">SUM(K8:K9)</f>
        <v>202467.56348663999</v>
      </c>
      <c r="L10" s="62">
        <f t="shared" ref="L10" si="9">SUM(L8:L9)</f>
        <v>203727.29444064799</v>
      </c>
      <c r="M10" s="62">
        <f t="shared" ref="M10" si="10">SUM(M8:M9)</f>
        <v>206109.10610845359</v>
      </c>
      <c r="N10" s="62">
        <f t="shared" ref="N10" si="11">SUM(N8:N9)</f>
        <v>208276.37427591748</v>
      </c>
      <c r="O10" s="71"/>
      <c r="Q10" s="73"/>
    </row>
    <row r="11" spans="2:17" x14ac:dyDescent="0.25">
      <c r="B11" s="61" t="s">
        <v>110</v>
      </c>
      <c r="C11" s="72">
        <f>0.54*C9 + 0.3*C8</f>
        <v>67811.7</v>
      </c>
      <c r="D11" s="72">
        <f t="shared" ref="D11:N11" si="12">0.54*D9 + 0.3*D8</f>
        <v>70121.19</v>
      </c>
      <c r="E11" s="72">
        <f t="shared" si="12"/>
        <v>72102.332999999999</v>
      </c>
      <c r="F11" s="72">
        <f t="shared" si="12"/>
        <v>75747.233100000012</v>
      </c>
      <c r="G11" s="72">
        <f t="shared" si="12"/>
        <v>79295.851919999986</v>
      </c>
      <c r="H11" s="72">
        <f t="shared" si="12"/>
        <v>83452.09634399999</v>
      </c>
      <c r="I11" s="72">
        <f t="shared" si="12"/>
        <v>82446.467440799985</v>
      </c>
      <c r="J11" s="72">
        <f t="shared" si="12"/>
        <v>80257.527208560001</v>
      </c>
      <c r="K11" s="72">
        <f t="shared" si="12"/>
        <v>79940.269045991998</v>
      </c>
      <c r="L11" s="72">
        <f t="shared" si="12"/>
        <v>80798.18833219439</v>
      </c>
      <c r="M11" s="72">
        <f t="shared" si="12"/>
        <v>81992.731832536068</v>
      </c>
      <c r="N11" s="72">
        <f t="shared" si="12"/>
        <v>82882.912282775244</v>
      </c>
      <c r="O11" s="97">
        <f>SUM(C11:N11)</f>
        <v>936848.50050685753</v>
      </c>
      <c r="P11" s="73" t="s">
        <v>117</v>
      </c>
    </row>
    <row r="12" spans="2:17" x14ac:dyDescent="0.25">
      <c r="B12" s="61" t="s">
        <v>111</v>
      </c>
      <c r="C12" s="62">
        <f>C10-C11</f>
        <v>103027.3</v>
      </c>
      <c r="D12" s="62">
        <f t="shared" ref="D12" si="13">D10-D11</f>
        <v>105216.10999999999</v>
      </c>
      <c r="E12" s="62">
        <f t="shared" ref="E12" si="14">E10-E11</f>
        <v>107858.77699999999</v>
      </c>
      <c r="F12" s="62">
        <f t="shared" ref="F12" si="15">F10-F11</f>
        <v>112127.21056666665</v>
      </c>
      <c r="G12" s="62">
        <f t="shared" ref="G12" si="16">G10-G11</f>
        <v>117023.65448</v>
      </c>
      <c r="H12" s="62">
        <f t="shared" ref="H12" si="17">H10-H11</f>
        <v>122721.55813599998</v>
      </c>
      <c r="I12" s="62">
        <f t="shared" ref="I12" si="18">I10-I11</f>
        <v>124375.09069519999</v>
      </c>
      <c r="J12" s="62">
        <f t="shared" ref="J12" si="19">J10-J11</f>
        <v>123267.56348663996</v>
      </c>
      <c r="K12" s="62">
        <f t="shared" ref="K12" si="20">K10-K11</f>
        <v>122527.29444064799</v>
      </c>
      <c r="L12" s="62">
        <f t="shared" ref="L12" si="21">L10-L11</f>
        <v>122929.1061084536</v>
      </c>
      <c r="M12" s="62">
        <f t="shared" ref="M12" si="22">M10-M11</f>
        <v>124116.37427591752</v>
      </c>
      <c r="N12" s="62">
        <f t="shared" ref="N12" si="23">N10-N11</f>
        <v>125393.46199314223</v>
      </c>
      <c r="O12" s="106"/>
      <c r="Q12" s="73"/>
    </row>
    <row r="13" spans="2:17" x14ac:dyDescent="0.25">
      <c r="B13" s="68" t="s">
        <v>112</v>
      </c>
      <c r="C13" s="69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7"/>
    </row>
    <row r="14" spans="2:17" x14ac:dyDescent="0.25">
      <c r="B14" s="68" t="s">
        <v>113</v>
      </c>
      <c r="C14" s="96">
        <f t="shared" ref="C14:N14" si="24">C11+C13</f>
        <v>67811.7</v>
      </c>
      <c r="D14" s="96">
        <f t="shared" si="24"/>
        <v>70121.19</v>
      </c>
      <c r="E14" s="96">
        <f t="shared" si="24"/>
        <v>72102.332999999999</v>
      </c>
      <c r="F14" s="96">
        <f t="shared" si="24"/>
        <v>75747.233100000012</v>
      </c>
      <c r="G14" s="96">
        <f t="shared" si="24"/>
        <v>79295.851919999986</v>
      </c>
      <c r="H14" s="96">
        <f t="shared" si="24"/>
        <v>83452.09634399999</v>
      </c>
      <c r="I14" s="96">
        <f t="shared" si="24"/>
        <v>82446.467440799985</v>
      </c>
      <c r="J14" s="96">
        <f t="shared" si="24"/>
        <v>80257.527208560001</v>
      </c>
      <c r="K14" s="96">
        <f t="shared" si="24"/>
        <v>79940.269045991998</v>
      </c>
      <c r="L14" s="96">
        <f t="shared" si="24"/>
        <v>80798.18833219439</v>
      </c>
      <c r="M14" s="96">
        <f t="shared" si="24"/>
        <v>81992.731832536068</v>
      </c>
      <c r="N14" s="96">
        <f t="shared" si="24"/>
        <v>82882.912282775244</v>
      </c>
      <c r="O14" s="78">
        <f>SUM(C14:N14)</f>
        <v>936848.50050685753</v>
      </c>
    </row>
    <row r="15" spans="2:17" x14ac:dyDescent="0.25">
      <c r="B15" s="75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7"/>
    </row>
    <row r="16" spans="2:17" x14ac:dyDescent="0.25"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7"/>
    </row>
    <row r="17" spans="1:18" x14ac:dyDescent="0.25">
      <c r="B17" s="75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</row>
    <row r="18" spans="1:18" x14ac:dyDescent="0.25">
      <c r="A18" s="7"/>
      <c r="B18" s="81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7"/>
      <c r="P18" s="7"/>
      <c r="Q18" s="7"/>
      <c r="R18" s="7"/>
    </row>
    <row r="19" spans="1:18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x14ac:dyDescent="0.25">
      <c r="A24" s="7"/>
      <c r="B24" s="7"/>
      <c r="C24" s="7"/>
      <c r="D24" s="58"/>
      <c r="E24" s="58"/>
      <c r="F24" s="58"/>
      <c r="G24" s="58"/>
      <c r="H24" s="58"/>
      <c r="I24" s="82"/>
      <c r="J24" s="82"/>
      <c r="K24" s="82"/>
      <c r="L24" s="82"/>
      <c r="M24" s="82"/>
      <c r="N24" s="82"/>
      <c r="O24" s="7"/>
      <c r="P24" s="7"/>
      <c r="Q24" s="7"/>
      <c r="R24" s="7"/>
    </row>
    <row r="25" spans="1:18" x14ac:dyDescent="0.25">
      <c r="A25" s="7"/>
      <c r="B25" s="83"/>
      <c r="C25" s="84"/>
      <c r="D25" s="84"/>
      <c r="E25" s="84"/>
      <c r="F25" s="84"/>
      <c r="G25" s="84"/>
      <c r="H25" s="84"/>
      <c r="I25" s="85"/>
      <c r="J25" s="85"/>
      <c r="K25" s="85"/>
      <c r="L25" s="85"/>
      <c r="M25" s="85"/>
      <c r="N25" s="85"/>
      <c r="O25" s="86"/>
      <c r="P25" s="87"/>
      <c r="Q25" s="7"/>
      <c r="R25" s="7"/>
    </row>
    <row r="26" spans="1:18" x14ac:dyDescent="0.25">
      <c r="A26" s="7"/>
      <c r="B26" s="84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93"/>
      <c r="P26" s="7"/>
      <c r="Q26" s="7"/>
      <c r="R26" s="7"/>
    </row>
    <row r="27" spans="1:18" x14ac:dyDescent="0.25">
      <c r="A27" s="7"/>
      <c r="B27" s="89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77"/>
      <c r="Q27" s="92"/>
      <c r="R27" s="7"/>
    </row>
    <row r="28" spans="1:18" x14ac:dyDescent="0.25">
      <c r="A28" s="7"/>
      <c r="B28" s="84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94"/>
      <c r="P28" s="7"/>
      <c r="Q28" s="92"/>
      <c r="R28" s="7"/>
    </row>
    <row r="29" spans="1:18" x14ac:dyDescent="0.25">
      <c r="A29" s="7"/>
      <c r="B29" s="84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77"/>
      <c r="P29" s="7"/>
      <c r="Q29" s="92"/>
      <c r="R29" s="7"/>
    </row>
    <row r="30" spans="1:18" x14ac:dyDescent="0.25">
      <c r="A30" s="7"/>
      <c r="B30" s="84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77"/>
      <c r="P30" s="7"/>
      <c r="Q30" s="92"/>
      <c r="R30" s="7"/>
    </row>
    <row r="31" spans="1:18" x14ac:dyDescent="0.25">
      <c r="A31" s="7"/>
      <c r="B31" s="75"/>
      <c r="C31" s="76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7"/>
      <c r="P31" s="7"/>
      <c r="Q31" s="7"/>
      <c r="R31" s="7"/>
    </row>
    <row r="32" spans="1:18" x14ac:dyDescent="0.25">
      <c r="A32" s="7"/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7"/>
      <c r="P32" s="7"/>
      <c r="Q32" s="7"/>
      <c r="R32" s="7"/>
    </row>
    <row r="33" spans="1:18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x14ac:dyDescent="0.25">
      <c r="A41" s="7"/>
      <c r="B41" s="7"/>
      <c r="C41" s="7"/>
      <c r="D41" s="58"/>
      <c r="E41" s="58"/>
      <c r="F41" s="58"/>
      <c r="G41" s="58"/>
      <c r="H41" s="58"/>
      <c r="I41" s="82"/>
      <c r="J41" s="82"/>
      <c r="K41" s="82"/>
      <c r="L41" s="82"/>
      <c r="M41" s="82"/>
      <c r="N41" s="82"/>
      <c r="O41" s="7"/>
      <c r="P41" s="7"/>
      <c r="Q41" s="7"/>
      <c r="R41" s="7"/>
    </row>
    <row r="42" spans="1:18" x14ac:dyDescent="0.25">
      <c r="A42" s="7"/>
      <c r="B42" s="83"/>
      <c r="C42" s="84"/>
      <c r="D42" s="84"/>
      <c r="E42" s="84"/>
      <c r="F42" s="84"/>
      <c r="G42" s="84"/>
      <c r="H42" s="84"/>
      <c r="I42" s="85"/>
      <c r="J42" s="85"/>
      <c r="K42" s="85"/>
      <c r="L42" s="85"/>
      <c r="M42" s="85"/>
      <c r="N42" s="85"/>
      <c r="O42" s="86"/>
      <c r="P42" s="87"/>
      <c r="Q42" s="7"/>
      <c r="R42" s="7"/>
    </row>
    <row r="43" spans="1:18" x14ac:dyDescent="0.25">
      <c r="A43" s="7"/>
      <c r="B43" s="84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93"/>
      <c r="P43" s="22"/>
      <c r="Q43" s="7"/>
      <c r="R43" s="7"/>
    </row>
    <row r="44" spans="1:18" x14ac:dyDescent="0.25">
      <c r="A44" s="7"/>
      <c r="B44" s="89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1"/>
      <c r="P44" s="94"/>
      <c r="Q44" s="92"/>
      <c r="R44" s="7"/>
    </row>
    <row r="45" spans="1:18" x14ac:dyDescent="0.25">
      <c r="A45" s="7"/>
      <c r="B45" s="84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94"/>
      <c r="P45" s="22"/>
      <c r="Q45" s="92"/>
      <c r="R45" s="7"/>
    </row>
    <row r="46" spans="1:18" x14ac:dyDescent="0.25">
      <c r="A46" s="7"/>
      <c r="B46" s="84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94"/>
      <c r="P46" s="22"/>
      <c r="Q46" s="92"/>
      <c r="R46" s="7"/>
    </row>
    <row r="47" spans="1:18" x14ac:dyDescent="0.25">
      <c r="A47" s="7"/>
      <c r="B47" s="84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77"/>
      <c r="P47" s="7"/>
      <c r="Q47" s="92"/>
      <c r="R47" s="7"/>
    </row>
    <row r="48" spans="1:18" x14ac:dyDescent="0.25">
      <c r="A48" s="7"/>
      <c r="B48" s="75"/>
      <c r="C48" s="76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7"/>
      <c r="P48" s="7"/>
      <c r="Q48" s="7"/>
      <c r="R48" s="7"/>
    </row>
    <row r="49" spans="1:18" x14ac:dyDescent="0.25">
      <c r="A49" s="7"/>
      <c r="B49" s="75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7"/>
      <c r="P49" s="7"/>
      <c r="Q49" s="7"/>
      <c r="R49" s="7"/>
    </row>
    <row r="50" spans="1:18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G5" sqref="G5"/>
    </sheetView>
  </sheetViews>
  <sheetFormatPr defaultRowHeight="15" x14ac:dyDescent="0.25"/>
  <cols>
    <col min="2" max="2" width="20.85546875" customWidth="1"/>
    <col min="3" max="3" width="12.85546875" customWidth="1"/>
    <col min="4" max="4" width="13.7109375" customWidth="1"/>
    <col min="5" max="5" width="22.28515625" customWidth="1"/>
    <col min="7" max="7" width="13.140625" customWidth="1"/>
    <col min="8" max="8" width="4.85546875" customWidth="1"/>
  </cols>
  <sheetData>
    <row r="1" spans="1:8" x14ac:dyDescent="0.25">
      <c r="A1" t="s">
        <v>79</v>
      </c>
      <c r="F1" s="27"/>
    </row>
    <row r="2" spans="1:8" x14ac:dyDescent="0.25">
      <c r="A2" s="28"/>
      <c r="B2" s="28" t="s">
        <v>58</v>
      </c>
      <c r="C2" s="28"/>
      <c r="D2" s="28"/>
      <c r="E2" s="28"/>
      <c r="F2" s="29"/>
      <c r="G2" s="28"/>
      <c r="H2" s="28"/>
    </row>
    <row r="3" spans="1:8" x14ac:dyDescent="0.25">
      <c r="A3" s="28"/>
      <c r="B3" s="28" t="s">
        <v>59</v>
      </c>
      <c r="C3" s="30">
        <v>38951</v>
      </c>
      <c r="D3" s="28"/>
      <c r="E3" s="28"/>
      <c r="F3" s="29"/>
      <c r="G3" s="28"/>
      <c r="H3" s="28"/>
    </row>
    <row r="4" spans="1:8" x14ac:dyDescent="0.25">
      <c r="A4" s="28"/>
      <c r="B4" s="28" t="s">
        <v>60</v>
      </c>
      <c r="C4" s="31">
        <f>D4/12</f>
        <v>5.5750000000000001E-3</v>
      </c>
      <c r="D4" s="32">
        <v>6.6900000000000001E-2</v>
      </c>
      <c r="E4" s="28" t="s">
        <v>61</v>
      </c>
      <c r="F4" s="29"/>
      <c r="G4" s="28"/>
      <c r="H4" s="28"/>
    </row>
    <row r="5" spans="1:8" x14ac:dyDescent="0.25">
      <c r="A5" s="28"/>
      <c r="B5" s="28" t="s">
        <v>62</v>
      </c>
      <c r="C5" s="33">
        <v>48</v>
      </c>
      <c r="D5" s="28" t="s">
        <v>63</v>
      </c>
      <c r="E5" s="28"/>
      <c r="F5" s="29"/>
      <c r="G5" s="28"/>
      <c r="H5" s="28"/>
    </row>
    <row r="6" spans="1:8" x14ac:dyDescent="0.25">
      <c r="A6" s="28"/>
      <c r="B6" s="28" t="s">
        <v>64</v>
      </c>
      <c r="C6" s="34">
        <f>PMT(C4,C5,C3)</f>
        <v>-927.13829686928875</v>
      </c>
      <c r="D6" s="35"/>
      <c r="E6" s="28"/>
      <c r="F6" s="29"/>
      <c r="G6" s="28"/>
      <c r="H6" s="28"/>
    </row>
    <row r="7" spans="1:8" x14ac:dyDescent="0.25">
      <c r="A7" s="28" t="s">
        <v>128</v>
      </c>
      <c r="B7" s="29" t="s">
        <v>65</v>
      </c>
      <c r="C7" s="29" t="s">
        <v>66</v>
      </c>
      <c r="D7" s="29" t="s">
        <v>67</v>
      </c>
      <c r="E7" s="29" t="s">
        <v>68</v>
      </c>
      <c r="F7" s="29"/>
      <c r="G7" s="29" t="s">
        <v>69</v>
      </c>
      <c r="H7" s="28"/>
    </row>
    <row r="8" spans="1:8" x14ac:dyDescent="0.25">
      <c r="A8" s="28">
        <v>1</v>
      </c>
      <c r="B8" s="34">
        <f>+C3</f>
        <v>38951</v>
      </c>
      <c r="C8" s="34">
        <f t="shared" ref="C8:C55" si="0">+B8*$C$4</f>
        <v>217.151825</v>
      </c>
      <c r="D8" s="34">
        <f t="shared" ref="D8:D55" si="1">-$C$6-C8</f>
        <v>709.98647186928872</v>
      </c>
      <c r="E8" s="34">
        <f>IF((+B8-D8)&lt;0,0,B8-D8)</f>
        <v>38241.013528130708</v>
      </c>
      <c r="F8" s="36" t="s">
        <v>70</v>
      </c>
      <c r="G8" s="28" t="s">
        <v>123</v>
      </c>
      <c r="H8" s="28"/>
    </row>
    <row r="9" spans="1:8" x14ac:dyDescent="0.25">
      <c r="A9" s="28">
        <v>2</v>
      </c>
      <c r="B9" s="34">
        <f t="shared" ref="B9:B22" si="2">+E8</f>
        <v>38241.013528130708</v>
      </c>
      <c r="C9" s="34">
        <f t="shared" si="0"/>
        <v>213.19365041932869</v>
      </c>
      <c r="D9" s="34">
        <f t="shared" si="1"/>
        <v>713.94464644996003</v>
      </c>
      <c r="E9" s="34">
        <f t="shared" ref="E9:E55" si="3">IF((+B9-D9)&lt;0,0,B9-D9)</f>
        <v>37527.068881680745</v>
      </c>
      <c r="F9" s="36" t="s">
        <v>71</v>
      </c>
      <c r="G9" s="28" t="s">
        <v>124</v>
      </c>
      <c r="H9" s="28"/>
    </row>
    <row r="10" spans="1:8" x14ac:dyDescent="0.25">
      <c r="A10" s="28">
        <v>3</v>
      </c>
      <c r="B10" s="34">
        <f t="shared" si="2"/>
        <v>37527.068881680745</v>
      </c>
      <c r="C10" s="34">
        <f t="shared" si="0"/>
        <v>209.21340901537016</v>
      </c>
      <c r="D10" s="34">
        <f t="shared" si="1"/>
        <v>717.92488785391856</v>
      </c>
      <c r="E10" s="34">
        <f t="shared" si="3"/>
        <v>36809.143993826823</v>
      </c>
      <c r="F10" s="36" t="s">
        <v>72</v>
      </c>
      <c r="G10" s="28" t="s">
        <v>124</v>
      </c>
      <c r="H10" s="28"/>
    </row>
    <row r="11" spans="1:8" x14ac:dyDescent="0.25">
      <c r="A11" s="28">
        <v>4</v>
      </c>
      <c r="B11" s="34">
        <f t="shared" si="2"/>
        <v>36809.143993826823</v>
      </c>
      <c r="C11" s="34">
        <f t="shared" si="0"/>
        <v>205.21097776558454</v>
      </c>
      <c r="D11" s="34">
        <f t="shared" si="1"/>
        <v>721.92731910370424</v>
      </c>
      <c r="E11" s="34">
        <f t="shared" si="3"/>
        <v>36087.216674723117</v>
      </c>
      <c r="F11" s="36" t="s">
        <v>74</v>
      </c>
      <c r="G11" s="28" t="s">
        <v>124</v>
      </c>
      <c r="H11" s="28"/>
    </row>
    <row r="12" spans="1:8" x14ac:dyDescent="0.25">
      <c r="A12" s="28">
        <v>5</v>
      </c>
      <c r="B12" s="34">
        <f t="shared" si="2"/>
        <v>36087.216674723117</v>
      </c>
      <c r="C12" s="34">
        <f t="shared" si="0"/>
        <v>201.18623296158137</v>
      </c>
      <c r="D12" s="34">
        <f t="shared" si="1"/>
        <v>725.95206390770738</v>
      </c>
      <c r="E12" s="34">
        <f t="shared" si="3"/>
        <v>35361.264610815408</v>
      </c>
      <c r="F12" s="36" t="s">
        <v>82</v>
      </c>
      <c r="G12" s="28" t="s">
        <v>124</v>
      </c>
      <c r="H12" s="28"/>
    </row>
    <row r="13" spans="1:8" x14ac:dyDescent="0.25">
      <c r="A13" s="28">
        <v>6</v>
      </c>
      <c r="B13" s="34">
        <f t="shared" si="2"/>
        <v>35361.264610815408</v>
      </c>
      <c r="C13" s="34">
        <f t="shared" si="0"/>
        <v>197.13905020529589</v>
      </c>
      <c r="D13" s="34">
        <f t="shared" si="1"/>
        <v>729.99924666399284</v>
      </c>
      <c r="E13" s="34">
        <f t="shared" si="3"/>
        <v>34631.265364151412</v>
      </c>
      <c r="F13" s="36" t="s">
        <v>83</v>
      </c>
      <c r="G13" s="28" t="s">
        <v>124</v>
      </c>
      <c r="H13" s="28"/>
    </row>
    <row r="14" spans="1:8" x14ac:dyDescent="0.25">
      <c r="A14" s="28">
        <v>7</v>
      </c>
      <c r="B14" s="34">
        <f t="shared" si="2"/>
        <v>34631.265364151412</v>
      </c>
      <c r="C14" s="34">
        <f t="shared" si="0"/>
        <v>193.06930440514412</v>
      </c>
      <c r="D14" s="34">
        <f t="shared" si="1"/>
        <v>734.06899246414469</v>
      </c>
      <c r="E14" s="34">
        <f t="shared" si="3"/>
        <v>33897.196371687271</v>
      </c>
      <c r="F14" s="36" t="s">
        <v>84</v>
      </c>
      <c r="G14" s="28" t="s">
        <v>124</v>
      </c>
      <c r="H14" s="28"/>
    </row>
    <row r="15" spans="1:8" x14ac:dyDescent="0.25">
      <c r="A15" s="28">
        <v>8</v>
      </c>
      <c r="B15" s="34">
        <f t="shared" si="2"/>
        <v>33897.196371687271</v>
      </c>
      <c r="C15" s="34">
        <f t="shared" si="0"/>
        <v>188.97686977215653</v>
      </c>
      <c r="D15" s="34">
        <f t="shared" si="1"/>
        <v>738.16142709713222</v>
      </c>
      <c r="E15" s="34">
        <f t="shared" si="3"/>
        <v>33159.034944590137</v>
      </c>
      <c r="F15" s="36" t="s">
        <v>85</v>
      </c>
      <c r="G15" s="28" t="s">
        <v>124</v>
      </c>
      <c r="H15" s="28"/>
    </row>
    <row r="16" spans="1:8" x14ac:dyDescent="0.25">
      <c r="A16" s="28">
        <v>9</v>
      </c>
      <c r="B16" s="34">
        <f t="shared" si="2"/>
        <v>33159.034944590137</v>
      </c>
      <c r="C16" s="34">
        <f t="shared" si="0"/>
        <v>184.86161981609001</v>
      </c>
      <c r="D16" s="34">
        <f t="shared" si="1"/>
        <v>742.27667705319868</v>
      </c>
      <c r="E16" s="34">
        <f t="shared" si="3"/>
        <v>32416.758267536938</v>
      </c>
      <c r="F16" s="36" t="s">
        <v>86</v>
      </c>
      <c r="G16" s="28" t="s">
        <v>124</v>
      </c>
      <c r="H16" s="28"/>
    </row>
    <row r="17" spans="1:8" x14ac:dyDescent="0.25">
      <c r="A17" s="28">
        <v>10</v>
      </c>
      <c r="B17" s="34">
        <f t="shared" si="2"/>
        <v>32416.758267536938</v>
      </c>
      <c r="C17" s="34">
        <f t="shared" si="0"/>
        <v>180.72342734151843</v>
      </c>
      <c r="D17" s="34">
        <f t="shared" si="1"/>
        <v>746.41486952777029</v>
      </c>
      <c r="E17" s="34">
        <f t="shared" si="3"/>
        <v>31670.343398009169</v>
      </c>
      <c r="F17" s="36" t="s">
        <v>87</v>
      </c>
      <c r="G17" s="28" t="s">
        <v>124</v>
      </c>
      <c r="H17" s="28"/>
    </row>
    <row r="18" spans="1:8" x14ac:dyDescent="0.25">
      <c r="A18" s="28">
        <v>11</v>
      </c>
      <c r="B18" s="34">
        <f t="shared" si="2"/>
        <v>31670.343398009169</v>
      </c>
      <c r="C18" s="34">
        <f t="shared" si="0"/>
        <v>176.56216444390111</v>
      </c>
      <c r="D18" s="34">
        <f t="shared" si="1"/>
        <v>750.57613242538764</v>
      </c>
      <c r="E18" s="34">
        <f t="shared" si="3"/>
        <v>30919.767265583781</v>
      </c>
      <c r="F18" s="36" t="s">
        <v>88</v>
      </c>
      <c r="G18" s="28" t="s">
        <v>124</v>
      </c>
      <c r="H18" s="28"/>
    </row>
    <row r="19" spans="1:8" x14ac:dyDescent="0.25">
      <c r="A19" s="28">
        <v>12</v>
      </c>
      <c r="B19" s="34">
        <f t="shared" si="2"/>
        <v>30919.767265583781</v>
      </c>
      <c r="C19" s="34">
        <f t="shared" si="0"/>
        <v>172.37770250562957</v>
      </c>
      <c r="D19" s="34">
        <f t="shared" si="1"/>
        <v>754.76059436365915</v>
      </c>
      <c r="E19" s="34">
        <f t="shared" si="3"/>
        <v>30165.006671220122</v>
      </c>
      <c r="F19" s="36" t="s">
        <v>75</v>
      </c>
      <c r="G19" s="28" t="s">
        <v>124</v>
      </c>
      <c r="H19" s="28"/>
    </row>
    <row r="20" spans="1:8" x14ac:dyDescent="0.25">
      <c r="A20" s="28">
        <v>13</v>
      </c>
      <c r="B20" s="34">
        <f t="shared" si="2"/>
        <v>30165.006671220122</v>
      </c>
      <c r="C20" s="34">
        <f t="shared" si="0"/>
        <v>168.16991219205218</v>
      </c>
      <c r="D20" s="34">
        <f t="shared" si="1"/>
        <v>758.9683846772366</v>
      </c>
      <c r="E20" s="34">
        <f t="shared" si="3"/>
        <v>29406.038286542887</v>
      </c>
      <c r="F20" s="36" t="s">
        <v>70</v>
      </c>
      <c r="G20" s="28" t="s">
        <v>124</v>
      </c>
      <c r="H20" s="28"/>
    </row>
    <row r="21" spans="1:8" x14ac:dyDescent="0.25">
      <c r="A21" s="28">
        <v>14</v>
      </c>
      <c r="B21" s="34">
        <f t="shared" si="2"/>
        <v>29406.038286542887</v>
      </c>
      <c r="C21" s="34">
        <f t="shared" si="0"/>
        <v>163.93866344747661</v>
      </c>
      <c r="D21" s="34">
        <f t="shared" si="1"/>
        <v>763.19963342181211</v>
      </c>
      <c r="E21" s="34">
        <f t="shared" si="3"/>
        <v>28642.838653121074</v>
      </c>
      <c r="F21" s="36" t="s">
        <v>73</v>
      </c>
      <c r="G21" s="28" t="s">
        <v>125</v>
      </c>
      <c r="H21" s="28"/>
    </row>
    <row r="22" spans="1:8" x14ac:dyDescent="0.25">
      <c r="A22" s="28">
        <v>15</v>
      </c>
      <c r="B22" s="34">
        <f t="shared" si="2"/>
        <v>28642.838653121074</v>
      </c>
      <c r="C22" s="34">
        <f t="shared" si="0"/>
        <v>159.68382549115</v>
      </c>
      <c r="D22" s="34">
        <f t="shared" si="1"/>
        <v>767.45447137813881</v>
      </c>
      <c r="E22" s="34">
        <f t="shared" si="3"/>
        <v>27875.384181742935</v>
      </c>
      <c r="F22" s="36" t="s">
        <v>72</v>
      </c>
      <c r="G22" s="28" t="s">
        <v>125</v>
      </c>
      <c r="H22" s="28"/>
    </row>
    <row r="23" spans="1:8" x14ac:dyDescent="0.25">
      <c r="A23" s="28">
        <v>16</v>
      </c>
      <c r="B23" s="34">
        <f t="shared" ref="B23:B55" si="4">E22</f>
        <v>27875.384181742935</v>
      </c>
      <c r="C23" s="37">
        <f t="shared" si="0"/>
        <v>155.40526681321685</v>
      </c>
      <c r="D23" s="38">
        <f t="shared" si="1"/>
        <v>771.73303005607193</v>
      </c>
      <c r="E23" s="37">
        <f t="shared" si="3"/>
        <v>27103.651151686863</v>
      </c>
      <c r="F23" s="36" t="s">
        <v>74</v>
      </c>
      <c r="G23" s="28" t="s">
        <v>125</v>
      </c>
      <c r="H23" s="28"/>
    </row>
    <row r="24" spans="1:8" x14ac:dyDescent="0.25">
      <c r="A24" s="28">
        <v>17</v>
      </c>
      <c r="B24" s="34">
        <f t="shared" si="4"/>
        <v>27103.651151686863</v>
      </c>
      <c r="C24" s="37">
        <f t="shared" si="0"/>
        <v>151.10285517065427</v>
      </c>
      <c r="D24" s="38">
        <f t="shared" si="1"/>
        <v>776.03544169863449</v>
      </c>
      <c r="E24" s="37">
        <f t="shared" si="3"/>
        <v>26327.615709988229</v>
      </c>
      <c r="F24" s="36" t="s">
        <v>82</v>
      </c>
      <c r="G24" s="28" t="s">
        <v>125</v>
      </c>
      <c r="H24" s="28"/>
    </row>
    <row r="25" spans="1:8" x14ac:dyDescent="0.25">
      <c r="A25" s="28">
        <v>18</v>
      </c>
      <c r="B25" s="34">
        <f t="shared" si="4"/>
        <v>26327.615709988229</v>
      </c>
      <c r="C25" s="37">
        <f t="shared" si="0"/>
        <v>146.77645758318437</v>
      </c>
      <c r="D25" s="38">
        <f t="shared" si="1"/>
        <v>780.36183928610444</v>
      </c>
      <c r="E25" s="37">
        <f t="shared" si="3"/>
        <v>25547.253870702123</v>
      </c>
      <c r="F25" s="36" t="s">
        <v>83</v>
      </c>
      <c r="G25" s="28" t="s">
        <v>125</v>
      </c>
      <c r="H25" s="28"/>
    </row>
    <row r="26" spans="1:8" x14ac:dyDescent="0.25">
      <c r="A26" s="28">
        <v>19</v>
      </c>
      <c r="B26" s="34">
        <f t="shared" si="4"/>
        <v>25547.253870702123</v>
      </c>
      <c r="C26" s="37">
        <f t="shared" si="0"/>
        <v>142.42594032916435</v>
      </c>
      <c r="D26" s="38">
        <f t="shared" si="1"/>
        <v>784.71235654012435</v>
      </c>
      <c r="E26" s="37">
        <f t="shared" si="3"/>
        <v>24762.541514162</v>
      </c>
      <c r="F26" s="36" t="s">
        <v>84</v>
      </c>
      <c r="G26" s="28" t="s">
        <v>125</v>
      </c>
      <c r="H26" s="28"/>
    </row>
    <row r="27" spans="1:8" x14ac:dyDescent="0.25">
      <c r="A27" s="28">
        <v>20</v>
      </c>
      <c r="B27" s="34">
        <f t="shared" si="4"/>
        <v>24762.541514162</v>
      </c>
      <c r="C27" s="37">
        <f t="shared" si="0"/>
        <v>138.05116894145314</v>
      </c>
      <c r="D27" s="38">
        <f t="shared" si="1"/>
        <v>789.08712792783558</v>
      </c>
      <c r="E27" s="37">
        <f t="shared" si="3"/>
        <v>23973.454386234163</v>
      </c>
      <c r="F27" s="36" t="s">
        <v>85</v>
      </c>
      <c r="G27" s="28" t="s">
        <v>125</v>
      </c>
      <c r="H27" s="28"/>
    </row>
    <row r="28" spans="1:8" x14ac:dyDescent="0.25">
      <c r="A28" s="28">
        <v>21</v>
      </c>
      <c r="B28" s="34">
        <f t="shared" si="4"/>
        <v>23973.454386234163</v>
      </c>
      <c r="C28" s="37">
        <f t="shared" si="0"/>
        <v>133.65200820325546</v>
      </c>
      <c r="D28" s="38">
        <f t="shared" si="1"/>
        <v>793.48628866603326</v>
      </c>
      <c r="E28" s="37">
        <f t="shared" si="3"/>
        <v>23179.968097568129</v>
      </c>
      <c r="F28" s="36" t="s">
        <v>86</v>
      </c>
      <c r="G28" s="28" t="s">
        <v>125</v>
      </c>
      <c r="H28" s="28"/>
    </row>
    <row r="29" spans="1:8" x14ac:dyDescent="0.25">
      <c r="A29" s="28">
        <v>22</v>
      </c>
      <c r="B29" s="34">
        <f t="shared" si="4"/>
        <v>23179.968097568129</v>
      </c>
      <c r="C29" s="37">
        <f t="shared" si="0"/>
        <v>129.22832214394234</v>
      </c>
      <c r="D29" s="38">
        <f t="shared" si="1"/>
        <v>797.90997472534639</v>
      </c>
      <c r="E29" s="37">
        <f t="shared" si="3"/>
        <v>22382.058122842784</v>
      </c>
      <c r="F29" s="36" t="s">
        <v>87</v>
      </c>
      <c r="G29" s="28" t="s">
        <v>125</v>
      </c>
      <c r="H29" s="28"/>
    </row>
    <row r="30" spans="1:8" x14ac:dyDescent="0.25">
      <c r="A30" s="28">
        <v>23</v>
      </c>
      <c r="B30" s="34">
        <f t="shared" si="4"/>
        <v>22382.058122842784</v>
      </c>
      <c r="C30" s="37">
        <f t="shared" si="0"/>
        <v>124.77997403484852</v>
      </c>
      <c r="D30" s="38">
        <f t="shared" si="1"/>
        <v>802.35832283444029</v>
      </c>
      <c r="E30" s="37">
        <f t="shared" si="3"/>
        <v>21579.699800008344</v>
      </c>
      <c r="F30" s="36" t="s">
        <v>88</v>
      </c>
      <c r="G30" s="28" t="s">
        <v>125</v>
      </c>
      <c r="H30" s="28"/>
    </row>
    <row r="31" spans="1:8" x14ac:dyDescent="0.25">
      <c r="A31" s="28">
        <v>24</v>
      </c>
      <c r="B31" s="34">
        <f t="shared" si="4"/>
        <v>21579.699800008344</v>
      </c>
      <c r="C31" s="37">
        <f t="shared" si="0"/>
        <v>120.30682638504652</v>
      </c>
      <c r="D31" s="38">
        <f t="shared" si="1"/>
        <v>806.83147048424223</v>
      </c>
      <c r="E31" s="37">
        <f t="shared" si="3"/>
        <v>20772.868329524103</v>
      </c>
      <c r="F31" s="36" t="s">
        <v>75</v>
      </c>
      <c r="G31" s="28" t="s">
        <v>125</v>
      </c>
      <c r="H31" s="28"/>
    </row>
    <row r="32" spans="1:8" x14ac:dyDescent="0.25">
      <c r="A32" s="28">
        <v>25</v>
      </c>
      <c r="B32" s="34">
        <f t="shared" si="4"/>
        <v>20772.868329524103</v>
      </c>
      <c r="C32" s="37">
        <f t="shared" si="0"/>
        <v>115.80874093709687</v>
      </c>
      <c r="D32" s="38">
        <f t="shared" si="1"/>
        <v>811.32955593219185</v>
      </c>
      <c r="E32" s="37">
        <f t="shared" si="3"/>
        <v>19961.53877359191</v>
      </c>
      <c r="F32" s="36" t="s">
        <v>70</v>
      </c>
      <c r="G32" s="28" t="s">
        <v>125</v>
      </c>
      <c r="H32" s="28"/>
    </row>
    <row r="33" spans="1:8" x14ac:dyDescent="0.25">
      <c r="A33" s="28">
        <v>26</v>
      </c>
      <c r="B33" s="34">
        <f t="shared" si="4"/>
        <v>19961.53877359191</v>
      </c>
      <c r="C33" s="37">
        <f t="shared" si="0"/>
        <v>111.2855786627749</v>
      </c>
      <c r="D33" s="38">
        <f t="shared" si="1"/>
        <v>815.85271820651383</v>
      </c>
      <c r="E33" s="37">
        <f t="shared" si="3"/>
        <v>19145.686055385395</v>
      </c>
      <c r="F33" s="39" t="s">
        <v>71</v>
      </c>
      <c r="G33" s="28" t="s">
        <v>126</v>
      </c>
      <c r="H33" s="28"/>
    </row>
    <row r="34" spans="1:8" x14ac:dyDescent="0.25">
      <c r="A34" s="28">
        <v>27</v>
      </c>
      <c r="B34" s="34">
        <f t="shared" si="4"/>
        <v>19145.686055385395</v>
      </c>
      <c r="C34" s="37">
        <f t="shared" si="0"/>
        <v>106.73719975877358</v>
      </c>
      <c r="D34" s="38">
        <f t="shared" si="1"/>
        <v>820.40109711051514</v>
      </c>
      <c r="E34" s="37">
        <f t="shared" si="3"/>
        <v>18325.284958274879</v>
      </c>
      <c r="F34" s="36" t="s">
        <v>72</v>
      </c>
      <c r="G34" s="28" t="s">
        <v>126</v>
      </c>
      <c r="H34" s="28"/>
    </row>
    <row r="35" spans="1:8" x14ac:dyDescent="0.25">
      <c r="A35" s="28">
        <v>28</v>
      </c>
      <c r="B35" s="34">
        <f t="shared" si="4"/>
        <v>18325.284958274879</v>
      </c>
      <c r="C35" s="37">
        <f t="shared" si="0"/>
        <v>102.16346364238245</v>
      </c>
      <c r="D35" s="38">
        <f t="shared" si="1"/>
        <v>824.9748332269063</v>
      </c>
      <c r="E35" s="37">
        <f t="shared" si="3"/>
        <v>17500.310125047974</v>
      </c>
      <c r="F35" s="36" t="s">
        <v>74</v>
      </c>
      <c r="G35" s="28" t="s">
        <v>126</v>
      </c>
      <c r="H35" s="28"/>
    </row>
    <row r="36" spans="1:8" x14ac:dyDescent="0.25">
      <c r="A36" s="28">
        <v>29</v>
      </c>
      <c r="B36" s="34">
        <f t="shared" si="4"/>
        <v>17500.310125047974</v>
      </c>
      <c r="C36" s="37">
        <f t="shared" si="0"/>
        <v>97.564228947142453</v>
      </c>
      <c r="D36" s="38">
        <f t="shared" si="1"/>
        <v>829.57406792214624</v>
      </c>
      <c r="E36" s="37">
        <f t="shared" si="3"/>
        <v>16670.736057125829</v>
      </c>
      <c r="F36" s="36" t="s">
        <v>82</v>
      </c>
      <c r="G36" s="28" t="s">
        <v>126</v>
      </c>
      <c r="H36" s="28"/>
    </row>
    <row r="37" spans="1:8" x14ac:dyDescent="0.25">
      <c r="A37" s="28">
        <v>30</v>
      </c>
      <c r="B37" s="34">
        <f t="shared" si="4"/>
        <v>16670.736057125829</v>
      </c>
      <c r="C37" s="37">
        <f t="shared" si="0"/>
        <v>92.939353518476494</v>
      </c>
      <c r="D37" s="38">
        <f t="shared" si="1"/>
        <v>834.19894335081221</v>
      </c>
      <c r="E37" s="37">
        <f t="shared" si="3"/>
        <v>15836.537113775017</v>
      </c>
      <c r="F37" s="36" t="s">
        <v>83</v>
      </c>
      <c r="G37" s="28" t="s">
        <v>126</v>
      </c>
      <c r="H37" s="28"/>
    </row>
    <row r="38" spans="1:8" x14ac:dyDescent="0.25">
      <c r="A38" s="28">
        <v>31</v>
      </c>
      <c r="B38" s="34">
        <f t="shared" si="4"/>
        <v>15836.537113775017</v>
      </c>
      <c r="C38" s="37">
        <f t="shared" si="0"/>
        <v>88.288694409295715</v>
      </c>
      <c r="D38" s="38">
        <f t="shared" si="1"/>
        <v>838.84960245999309</v>
      </c>
      <c r="E38" s="37">
        <f t="shared" si="3"/>
        <v>14997.687511315024</v>
      </c>
      <c r="F38" s="36" t="s">
        <v>84</v>
      </c>
      <c r="G38" s="28" t="s">
        <v>126</v>
      </c>
      <c r="H38" s="28"/>
    </row>
    <row r="39" spans="1:8" x14ac:dyDescent="0.25">
      <c r="A39" s="28">
        <v>32</v>
      </c>
      <c r="B39" s="34">
        <f t="shared" si="4"/>
        <v>14997.687511315024</v>
      </c>
      <c r="C39" s="37">
        <f t="shared" si="0"/>
        <v>83.612107875581259</v>
      </c>
      <c r="D39" s="38">
        <f t="shared" si="1"/>
        <v>843.52618899370748</v>
      </c>
      <c r="E39" s="37">
        <f t="shared" si="3"/>
        <v>14154.161322321315</v>
      </c>
      <c r="F39" s="36" t="s">
        <v>85</v>
      </c>
      <c r="G39" s="28" t="s">
        <v>126</v>
      </c>
      <c r="H39" s="28"/>
    </row>
    <row r="40" spans="1:8" x14ac:dyDescent="0.25">
      <c r="A40" s="28">
        <v>33</v>
      </c>
      <c r="B40" s="34">
        <f t="shared" si="4"/>
        <v>14154.161322321315</v>
      </c>
      <c r="C40" s="37">
        <f t="shared" si="0"/>
        <v>78.909449371941335</v>
      </c>
      <c r="D40" s="38">
        <f t="shared" si="1"/>
        <v>848.22884749734737</v>
      </c>
      <c r="E40" s="37">
        <f t="shared" si="3"/>
        <v>13305.932474823969</v>
      </c>
      <c r="F40" s="36" t="s">
        <v>86</v>
      </c>
      <c r="G40" s="28" t="s">
        <v>126</v>
      </c>
      <c r="H40" s="28"/>
    </row>
    <row r="41" spans="1:8" x14ac:dyDescent="0.25">
      <c r="A41" s="28">
        <v>34</v>
      </c>
      <c r="B41" s="34">
        <f t="shared" si="4"/>
        <v>13305.932474823969</v>
      </c>
      <c r="C41" s="37">
        <f t="shared" si="0"/>
        <v>74.180573547143624</v>
      </c>
      <c r="D41" s="38">
        <f t="shared" si="1"/>
        <v>852.95772332214517</v>
      </c>
      <c r="E41" s="37">
        <f t="shared" si="3"/>
        <v>12452.974751501824</v>
      </c>
      <c r="F41" s="36" t="s">
        <v>87</v>
      </c>
      <c r="G41" s="28" t="s">
        <v>126</v>
      </c>
      <c r="H41" s="28"/>
    </row>
    <row r="42" spans="1:8" x14ac:dyDescent="0.25">
      <c r="A42" s="28">
        <v>35</v>
      </c>
      <c r="B42" s="34">
        <f t="shared" si="4"/>
        <v>12452.974751501824</v>
      </c>
      <c r="C42" s="37">
        <f t="shared" si="0"/>
        <v>69.425334239622671</v>
      </c>
      <c r="D42" s="38">
        <f t="shared" si="1"/>
        <v>857.71296262966609</v>
      </c>
      <c r="E42" s="37">
        <f t="shared" si="3"/>
        <v>11595.261788872158</v>
      </c>
      <c r="F42" s="36" t="s">
        <v>88</v>
      </c>
      <c r="G42" s="28" t="s">
        <v>126</v>
      </c>
      <c r="H42" s="28"/>
    </row>
    <row r="43" spans="1:8" x14ac:dyDescent="0.25">
      <c r="A43" s="28">
        <v>36</v>
      </c>
      <c r="B43" s="34">
        <f t="shared" si="4"/>
        <v>11595.261788872158</v>
      </c>
      <c r="C43" s="37">
        <f t="shared" si="0"/>
        <v>64.643584472962289</v>
      </c>
      <c r="D43" s="38">
        <f t="shared" si="1"/>
        <v>862.49471239632646</v>
      </c>
      <c r="E43" s="37">
        <f t="shared" si="3"/>
        <v>10732.767076475831</v>
      </c>
      <c r="F43" s="36" t="s">
        <v>75</v>
      </c>
      <c r="G43" s="28" t="s">
        <v>126</v>
      </c>
      <c r="H43" s="28"/>
    </row>
    <row r="44" spans="1:8" x14ac:dyDescent="0.25">
      <c r="A44" s="28">
        <v>37</v>
      </c>
      <c r="B44" s="34">
        <f t="shared" si="4"/>
        <v>10732.767076475831</v>
      </c>
      <c r="C44" s="37">
        <f t="shared" si="0"/>
        <v>59.835176451352758</v>
      </c>
      <c r="D44" s="38">
        <f t="shared" si="1"/>
        <v>867.30312041793604</v>
      </c>
      <c r="E44" s="37">
        <f t="shared" si="3"/>
        <v>9865.4639560578944</v>
      </c>
      <c r="F44" s="36" t="s">
        <v>70</v>
      </c>
      <c r="G44" s="28" t="s">
        <v>126</v>
      </c>
      <c r="H44" s="28"/>
    </row>
    <row r="45" spans="1:8" x14ac:dyDescent="0.25">
      <c r="A45" s="28">
        <v>38</v>
      </c>
      <c r="B45" s="34">
        <f t="shared" si="4"/>
        <v>9865.4639560578944</v>
      </c>
      <c r="C45" s="37">
        <f t="shared" si="0"/>
        <v>54.999961555022765</v>
      </c>
      <c r="D45" s="38">
        <f t="shared" si="1"/>
        <v>872.13833531426599</v>
      </c>
      <c r="E45" s="37">
        <f t="shared" si="3"/>
        <v>8993.325620743628</v>
      </c>
      <c r="F45" s="39" t="s">
        <v>71</v>
      </c>
      <c r="G45" s="28" t="s">
        <v>127</v>
      </c>
      <c r="H45" s="28"/>
    </row>
    <row r="46" spans="1:8" x14ac:dyDescent="0.25">
      <c r="A46" s="28">
        <v>39</v>
      </c>
      <c r="B46" s="34">
        <f t="shared" si="4"/>
        <v>8993.325620743628</v>
      </c>
      <c r="C46" s="37">
        <f t="shared" si="0"/>
        <v>50.137790335645725</v>
      </c>
      <c r="D46" s="38">
        <f t="shared" si="1"/>
        <v>877.00050653364303</v>
      </c>
      <c r="E46" s="37">
        <f t="shared" si="3"/>
        <v>8116.3251142099853</v>
      </c>
      <c r="F46" s="39" t="s">
        <v>72</v>
      </c>
      <c r="G46" s="28" t="s">
        <v>127</v>
      </c>
      <c r="H46" s="28"/>
    </row>
    <row r="47" spans="1:8" x14ac:dyDescent="0.25">
      <c r="A47" s="28">
        <v>40</v>
      </c>
      <c r="B47" s="34">
        <f t="shared" si="4"/>
        <v>8116.3251142099853</v>
      </c>
      <c r="C47" s="37">
        <f t="shared" si="0"/>
        <v>45.248512511720669</v>
      </c>
      <c r="D47" s="38">
        <f t="shared" si="1"/>
        <v>881.88978435756803</v>
      </c>
      <c r="E47" s="37">
        <f t="shared" si="3"/>
        <v>7234.4353298524175</v>
      </c>
      <c r="F47" s="39" t="s">
        <v>74</v>
      </c>
      <c r="G47" s="28" t="s">
        <v>127</v>
      </c>
      <c r="H47" s="28"/>
    </row>
    <row r="48" spans="1:8" x14ac:dyDescent="0.25">
      <c r="A48" s="28">
        <v>41</v>
      </c>
      <c r="B48" s="34">
        <f t="shared" si="4"/>
        <v>7234.4353298524175</v>
      </c>
      <c r="C48" s="37">
        <f t="shared" si="0"/>
        <v>40.331976963927225</v>
      </c>
      <c r="D48" s="38">
        <f t="shared" si="1"/>
        <v>886.80631990536153</v>
      </c>
      <c r="E48" s="37">
        <f t="shared" si="3"/>
        <v>6347.6290099470561</v>
      </c>
      <c r="F48" s="36" t="s">
        <v>82</v>
      </c>
      <c r="G48" s="28" t="s">
        <v>127</v>
      </c>
      <c r="H48" s="28"/>
    </row>
    <row r="49" spans="1:8" x14ac:dyDescent="0.25">
      <c r="A49" s="28">
        <v>42</v>
      </c>
      <c r="B49" s="34">
        <f t="shared" si="4"/>
        <v>6347.6290099470561</v>
      </c>
      <c r="C49" s="37">
        <f t="shared" si="0"/>
        <v>35.388031730454841</v>
      </c>
      <c r="D49" s="38">
        <f t="shared" si="1"/>
        <v>891.75026513883392</v>
      </c>
      <c r="E49" s="37">
        <f t="shared" si="3"/>
        <v>5455.8787448082221</v>
      </c>
      <c r="F49" s="36" t="s">
        <v>83</v>
      </c>
      <c r="G49" s="28" t="s">
        <v>127</v>
      </c>
      <c r="H49" s="28"/>
    </row>
    <row r="50" spans="1:8" x14ac:dyDescent="0.25">
      <c r="A50" s="28">
        <v>43</v>
      </c>
      <c r="B50" s="34">
        <f t="shared" si="4"/>
        <v>5455.8787448082221</v>
      </c>
      <c r="C50" s="37">
        <f t="shared" si="0"/>
        <v>30.416524002305838</v>
      </c>
      <c r="D50" s="38">
        <f t="shared" si="1"/>
        <v>896.72177286698286</v>
      </c>
      <c r="E50" s="37">
        <f t="shared" si="3"/>
        <v>4559.1569719412391</v>
      </c>
      <c r="F50" s="36" t="s">
        <v>84</v>
      </c>
      <c r="G50" s="28" t="s">
        <v>127</v>
      </c>
      <c r="H50" s="28"/>
    </row>
    <row r="51" spans="1:8" x14ac:dyDescent="0.25">
      <c r="A51" s="28">
        <v>44</v>
      </c>
      <c r="B51" s="34">
        <f t="shared" si="4"/>
        <v>4559.1569719412391</v>
      </c>
      <c r="C51" s="37">
        <f t="shared" si="0"/>
        <v>25.41730011857241</v>
      </c>
      <c r="D51" s="38">
        <f t="shared" si="1"/>
        <v>901.72099675071638</v>
      </c>
      <c r="E51" s="37">
        <f t="shared" si="3"/>
        <v>3657.4359751905226</v>
      </c>
      <c r="F51" s="36" t="s">
        <v>85</v>
      </c>
      <c r="G51" s="28" t="s">
        <v>127</v>
      </c>
      <c r="H51" s="28"/>
    </row>
    <row r="52" spans="1:8" x14ac:dyDescent="0.25">
      <c r="A52" s="28">
        <v>45</v>
      </c>
      <c r="B52" s="34">
        <f t="shared" si="4"/>
        <v>3657.4359751905226</v>
      </c>
      <c r="C52" s="37">
        <f t="shared" si="0"/>
        <v>20.390205561687164</v>
      </c>
      <c r="D52" s="38">
        <f t="shared" si="1"/>
        <v>906.74809130760161</v>
      </c>
      <c r="E52" s="37">
        <f t="shared" si="3"/>
        <v>2750.6878838829211</v>
      </c>
      <c r="F52" s="36" t="s">
        <v>86</v>
      </c>
      <c r="G52" s="28" t="s">
        <v>127</v>
      </c>
      <c r="H52" s="28"/>
    </row>
    <row r="53" spans="1:8" x14ac:dyDescent="0.25">
      <c r="A53" s="28">
        <v>46</v>
      </c>
      <c r="B53" s="34">
        <f t="shared" si="4"/>
        <v>2750.6878838829211</v>
      </c>
      <c r="C53" s="37">
        <f t="shared" si="0"/>
        <v>15.335084952647286</v>
      </c>
      <c r="D53" s="38">
        <f t="shared" si="1"/>
        <v>911.80321191664143</v>
      </c>
      <c r="E53" s="37">
        <f t="shared" si="3"/>
        <v>1838.8846719662797</v>
      </c>
      <c r="F53" s="36" t="s">
        <v>87</v>
      </c>
      <c r="G53" s="28" t="s">
        <v>127</v>
      </c>
      <c r="H53" s="28"/>
    </row>
    <row r="54" spans="1:8" x14ac:dyDescent="0.25">
      <c r="A54" s="28">
        <v>47</v>
      </c>
      <c r="B54" s="34">
        <f t="shared" si="4"/>
        <v>1838.8846719662797</v>
      </c>
      <c r="C54" s="37">
        <f t="shared" si="0"/>
        <v>10.251782046212009</v>
      </c>
      <c r="D54" s="38">
        <f t="shared" si="1"/>
        <v>916.88651482307671</v>
      </c>
      <c r="E54" s="37">
        <f t="shared" si="3"/>
        <v>921.998157143203</v>
      </c>
      <c r="F54" s="36" t="s">
        <v>88</v>
      </c>
      <c r="G54" s="28" t="s">
        <v>127</v>
      </c>
      <c r="H54" s="28"/>
    </row>
    <row r="55" spans="1:8" x14ac:dyDescent="0.25">
      <c r="A55" s="28">
        <v>48</v>
      </c>
      <c r="B55" s="34">
        <f t="shared" si="4"/>
        <v>921.998157143203</v>
      </c>
      <c r="C55" s="37">
        <f t="shared" si="0"/>
        <v>5.1401397260733566</v>
      </c>
      <c r="D55" s="38">
        <f t="shared" si="1"/>
        <v>921.99815714321539</v>
      </c>
      <c r="E55" s="37">
        <f t="shared" si="3"/>
        <v>0</v>
      </c>
      <c r="F55" s="39" t="s">
        <v>75</v>
      </c>
      <c r="G55" s="28" t="s">
        <v>127</v>
      </c>
      <c r="H55" s="28"/>
    </row>
    <row r="56" spans="1:8" x14ac:dyDescent="0.25">
      <c r="A56" s="40" t="s">
        <v>76</v>
      </c>
      <c r="B56" s="41"/>
      <c r="C56" s="42">
        <f>SUM(C8:C55)</f>
        <v>5551.6382497258601</v>
      </c>
      <c r="D56" s="42">
        <f>SUM(D8:D55)</f>
        <v>38950.999999999993</v>
      </c>
      <c r="E56" s="37"/>
      <c r="F56" s="39"/>
      <c r="G56" s="28"/>
      <c r="H56" s="28"/>
    </row>
    <row r="57" spans="1:8" x14ac:dyDescent="0.25">
      <c r="A57" s="28"/>
      <c r="B57" s="34"/>
      <c r="C57" s="43" t="s">
        <v>77</v>
      </c>
      <c r="D57" s="44" t="s">
        <v>78</v>
      </c>
      <c r="E57" s="37"/>
      <c r="F57" s="39"/>
      <c r="G57" s="28"/>
      <c r="H57" s="2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B1" workbookViewId="0">
      <selection activeCell="F6" sqref="F6"/>
    </sheetView>
  </sheetViews>
  <sheetFormatPr defaultRowHeight="15" x14ac:dyDescent="0.25"/>
  <cols>
    <col min="2" max="2" width="15.85546875" customWidth="1"/>
    <col min="3" max="3" width="17.42578125" customWidth="1"/>
    <col min="4" max="4" width="16.7109375" customWidth="1"/>
    <col min="5" max="5" width="14.140625" customWidth="1"/>
    <col min="6" max="6" width="7.7109375" customWidth="1"/>
    <col min="7" max="7" width="12.5703125" customWidth="1"/>
  </cols>
  <sheetData>
    <row r="1" spans="1:7" x14ac:dyDescent="0.25">
      <c r="A1" t="s">
        <v>89</v>
      </c>
    </row>
    <row r="2" spans="1:7" x14ac:dyDescent="0.25">
      <c r="A2" s="46"/>
      <c r="B2" s="46" t="s">
        <v>58</v>
      </c>
      <c r="C2" s="46"/>
      <c r="D2" s="46"/>
      <c r="E2" s="46"/>
      <c r="F2" s="46"/>
      <c r="G2" s="46"/>
    </row>
    <row r="3" spans="1:7" x14ac:dyDescent="0.25">
      <c r="A3" s="46"/>
      <c r="B3" s="46" t="s">
        <v>59</v>
      </c>
      <c r="C3" s="47">
        <v>26000</v>
      </c>
      <c r="D3" s="46"/>
      <c r="E3" s="46"/>
      <c r="F3" s="46"/>
      <c r="G3" s="46"/>
    </row>
    <row r="4" spans="1:7" x14ac:dyDescent="0.25">
      <c r="A4" s="46"/>
      <c r="B4" s="46" t="s">
        <v>60</v>
      </c>
      <c r="C4" s="48">
        <f>D4/12</f>
        <v>5.5750000000000001E-3</v>
      </c>
      <c r="D4" s="49">
        <v>6.6900000000000001E-2</v>
      </c>
      <c r="E4" s="46" t="s">
        <v>90</v>
      </c>
      <c r="F4" s="46"/>
      <c r="G4" s="46"/>
    </row>
    <row r="5" spans="1:7" x14ac:dyDescent="0.25">
      <c r="A5" s="46"/>
      <c r="B5" s="46" t="s">
        <v>62</v>
      </c>
      <c r="C5" s="50">
        <v>24</v>
      </c>
      <c r="D5" s="46" t="s">
        <v>63</v>
      </c>
      <c r="E5" s="46"/>
      <c r="F5" s="46"/>
      <c r="G5" s="46"/>
    </row>
    <row r="6" spans="1:7" x14ac:dyDescent="0.25">
      <c r="A6" s="46"/>
      <c r="B6" s="46" t="s">
        <v>64</v>
      </c>
      <c r="C6" s="51">
        <f>PMT(C4,C5,C3)</f>
        <v>-1160.4365529213239</v>
      </c>
      <c r="D6" s="52"/>
      <c r="E6" s="46"/>
      <c r="F6" s="46"/>
      <c r="G6" s="46"/>
    </row>
    <row r="7" spans="1:7" x14ac:dyDescent="0.25">
      <c r="A7" s="46" t="s">
        <v>128</v>
      </c>
      <c r="B7" s="53" t="s">
        <v>65</v>
      </c>
      <c r="C7" s="53" t="s">
        <v>66</v>
      </c>
      <c r="D7" s="53" t="s">
        <v>67</v>
      </c>
      <c r="E7" s="53" t="s">
        <v>68</v>
      </c>
      <c r="F7" s="46"/>
      <c r="G7" s="53" t="s">
        <v>69</v>
      </c>
    </row>
    <row r="8" spans="1:7" x14ac:dyDescent="0.25">
      <c r="A8" s="46">
        <v>1</v>
      </c>
      <c r="B8" s="51">
        <f>+C3</f>
        <v>26000</v>
      </c>
      <c r="C8" s="51">
        <f t="shared" ref="C8:C31" si="0">+B8*$C$4</f>
        <v>144.94999999999999</v>
      </c>
      <c r="D8" s="51">
        <f t="shared" ref="D8:D31" si="1">-$C$6-C8</f>
        <v>1015.4865529213239</v>
      </c>
      <c r="E8" s="51">
        <f>IF((+B8-D8)&lt;0,0,B8-D8)</f>
        <v>24984.513447078676</v>
      </c>
      <c r="F8" s="46" t="s">
        <v>91</v>
      </c>
      <c r="G8" s="114" t="s">
        <v>124</v>
      </c>
    </row>
    <row r="9" spans="1:7" x14ac:dyDescent="0.25">
      <c r="A9" s="46">
        <v>2</v>
      </c>
      <c r="B9" s="51">
        <f t="shared" ref="B9:B22" si="2">+E8</f>
        <v>24984.513447078676</v>
      </c>
      <c r="C9" s="51">
        <f t="shared" si="0"/>
        <v>139.28866246746361</v>
      </c>
      <c r="D9" s="51">
        <f t="shared" si="1"/>
        <v>1021.1478904538603</v>
      </c>
      <c r="E9" s="51">
        <f t="shared" ref="E9:E31" si="3">IF((+B9-D9)&lt;0,0,B9-D9)</f>
        <v>23963.365556624816</v>
      </c>
      <c r="F9" s="46" t="s">
        <v>92</v>
      </c>
      <c r="G9" s="114" t="s">
        <v>124</v>
      </c>
    </row>
    <row r="10" spans="1:7" x14ac:dyDescent="0.25">
      <c r="A10" s="46">
        <v>3</v>
      </c>
      <c r="B10" s="51">
        <f t="shared" si="2"/>
        <v>23963.365556624816</v>
      </c>
      <c r="C10" s="51">
        <f t="shared" si="0"/>
        <v>133.59576297818336</v>
      </c>
      <c r="D10" s="51">
        <f t="shared" si="1"/>
        <v>1026.8407899431406</v>
      </c>
      <c r="E10" s="51">
        <f t="shared" si="3"/>
        <v>22936.524766681676</v>
      </c>
      <c r="F10" s="46" t="s">
        <v>93</v>
      </c>
      <c r="G10" s="114" t="s">
        <v>124</v>
      </c>
    </row>
    <row r="11" spans="1:7" x14ac:dyDescent="0.25">
      <c r="A11" s="46">
        <v>4</v>
      </c>
      <c r="B11" s="51">
        <f t="shared" si="2"/>
        <v>22936.524766681676</v>
      </c>
      <c r="C11" s="51">
        <f t="shared" si="0"/>
        <v>127.87112557425034</v>
      </c>
      <c r="D11" s="51">
        <f t="shared" si="1"/>
        <v>1032.5654273470736</v>
      </c>
      <c r="E11" s="51">
        <f t="shared" si="3"/>
        <v>21903.9593393346</v>
      </c>
      <c r="F11" s="46" t="s">
        <v>94</v>
      </c>
      <c r="G11" s="114" t="s">
        <v>124</v>
      </c>
    </row>
    <row r="12" spans="1:7" x14ac:dyDescent="0.25">
      <c r="A12" s="46">
        <v>5</v>
      </c>
      <c r="B12" s="51">
        <f t="shared" si="2"/>
        <v>21903.9593393346</v>
      </c>
      <c r="C12" s="51">
        <f t="shared" si="0"/>
        <v>122.1145733167904</v>
      </c>
      <c r="D12" s="51">
        <f t="shared" si="1"/>
        <v>1038.3219796045335</v>
      </c>
      <c r="E12" s="51">
        <f t="shared" si="3"/>
        <v>20865.637359730066</v>
      </c>
      <c r="F12" s="46" t="s">
        <v>95</v>
      </c>
      <c r="G12" s="114" t="s">
        <v>124</v>
      </c>
    </row>
    <row r="13" spans="1:7" x14ac:dyDescent="0.25">
      <c r="A13" s="46">
        <v>6</v>
      </c>
      <c r="B13" s="51">
        <f t="shared" si="2"/>
        <v>20865.637359730066</v>
      </c>
      <c r="C13" s="51">
        <f t="shared" si="0"/>
        <v>116.32592828049512</v>
      </c>
      <c r="D13" s="51">
        <f t="shared" si="1"/>
        <v>1044.1106246408287</v>
      </c>
      <c r="E13" s="51">
        <f t="shared" si="3"/>
        <v>19821.526735089239</v>
      </c>
      <c r="F13" s="46" t="s">
        <v>96</v>
      </c>
      <c r="G13" s="114" t="s">
        <v>124</v>
      </c>
    </row>
    <row r="14" spans="1:7" x14ac:dyDescent="0.25">
      <c r="A14" s="46">
        <v>7</v>
      </c>
      <c r="B14" s="51">
        <f t="shared" si="2"/>
        <v>19821.526735089239</v>
      </c>
      <c r="C14" s="51">
        <f t="shared" si="0"/>
        <v>110.50501154812251</v>
      </c>
      <c r="D14" s="51">
        <f t="shared" si="1"/>
        <v>1049.9315413732015</v>
      </c>
      <c r="E14" s="51">
        <f t="shared" si="3"/>
        <v>18771.595193716039</v>
      </c>
      <c r="F14" s="46" t="s">
        <v>97</v>
      </c>
      <c r="G14" s="114" t="s">
        <v>125</v>
      </c>
    </row>
    <row r="15" spans="1:7" x14ac:dyDescent="0.25">
      <c r="A15" s="46">
        <v>8</v>
      </c>
      <c r="B15" s="51">
        <f t="shared" si="2"/>
        <v>18771.595193716039</v>
      </c>
      <c r="C15" s="51">
        <f t="shared" si="0"/>
        <v>104.65164320496692</v>
      </c>
      <c r="D15" s="51">
        <f t="shared" si="1"/>
        <v>1055.7849097163571</v>
      </c>
      <c r="E15" s="51">
        <f t="shared" si="3"/>
        <v>17715.810283999683</v>
      </c>
      <c r="F15" s="46" t="s">
        <v>98</v>
      </c>
      <c r="G15" s="114" t="s">
        <v>125</v>
      </c>
    </row>
    <row r="16" spans="1:7" x14ac:dyDescent="0.25">
      <c r="A16" s="46">
        <v>9</v>
      </c>
      <c r="B16" s="51">
        <f t="shared" si="2"/>
        <v>17715.810283999683</v>
      </c>
      <c r="C16" s="51">
        <f t="shared" si="0"/>
        <v>98.765642333298231</v>
      </c>
      <c r="D16" s="51">
        <f t="shared" si="1"/>
        <v>1061.6709105880257</v>
      </c>
      <c r="E16" s="51">
        <f t="shared" si="3"/>
        <v>16654.139373411657</v>
      </c>
      <c r="F16" s="46" t="s">
        <v>99</v>
      </c>
      <c r="G16" s="114" t="s">
        <v>125</v>
      </c>
    </row>
    <row r="17" spans="1:7" x14ac:dyDescent="0.25">
      <c r="A17" s="46">
        <v>10</v>
      </c>
      <c r="B17" s="51">
        <f t="shared" si="2"/>
        <v>16654.139373411657</v>
      </c>
      <c r="C17" s="51">
        <f t="shared" si="0"/>
        <v>92.846827006769985</v>
      </c>
      <c r="D17" s="51">
        <f t="shared" si="1"/>
        <v>1067.589725914554</v>
      </c>
      <c r="E17" s="51">
        <f t="shared" si="3"/>
        <v>15586.549647497104</v>
      </c>
      <c r="F17" s="46" t="s">
        <v>100</v>
      </c>
      <c r="G17" s="114" t="s">
        <v>125</v>
      </c>
    </row>
    <row r="18" spans="1:7" x14ac:dyDescent="0.25">
      <c r="A18" s="46">
        <v>11</v>
      </c>
      <c r="B18" s="51">
        <f t="shared" si="2"/>
        <v>15586.549647497104</v>
      </c>
      <c r="C18" s="51">
        <f t="shared" si="0"/>
        <v>86.89501428479636</v>
      </c>
      <c r="D18" s="51">
        <f t="shared" si="1"/>
        <v>1073.5415386365275</v>
      </c>
      <c r="E18" s="51">
        <f t="shared" si="3"/>
        <v>14513.008108860577</v>
      </c>
      <c r="F18" s="46" t="s">
        <v>101</v>
      </c>
      <c r="G18" s="114" t="s">
        <v>125</v>
      </c>
    </row>
    <row r="19" spans="1:7" x14ac:dyDescent="0.25">
      <c r="A19" s="46">
        <v>12</v>
      </c>
      <c r="B19" s="51">
        <f t="shared" si="2"/>
        <v>14513.008108860577</v>
      </c>
      <c r="C19" s="51">
        <f t="shared" si="0"/>
        <v>80.910020206897713</v>
      </c>
      <c r="D19" s="51">
        <f t="shared" si="1"/>
        <v>1079.5265327144261</v>
      </c>
      <c r="E19" s="51">
        <f t="shared" si="3"/>
        <v>13433.48157614615</v>
      </c>
      <c r="F19" s="46" t="s">
        <v>102</v>
      </c>
      <c r="G19" s="114" t="s">
        <v>125</v>
      </c>
    </row>
    <row r="20" spans="1:7" x14ac:dyDescent="0.25">
      <c r="A20" s="46">
        <v>13</v>
      </c>
      <c r="B20" s="51">
        <f t="shared" si="2"/>
        <v>13433.48157614615</v>
      </c>
      <c r="C20" s="51">
        <f t="shared" si="0"/>
        <v>74.891659787014788</v>
      </c>
      <c r="D20" s="51">
        <f t="shared" si="1"/>
        <v>1085.5448931343092</v>
      </c>
      <c r="E20" s="51">
        <f t="shared" si="3"/>
        <v>12347.936683011842</v>
      </c>
      <c r="F20" s="46" t="s">
        <v>91</v>
      </c>
      <c r="G20" s="114" t="s">
        <v>125</v>
      </c>
    </row>
    <row r="21" spans="1:7" x14ac:dyDescent="0.25">
      <c r="A21" s="46">
        <v>14</v>
      </c>
      <c r="B21" s="51">
        <f t="shared" si="2"/>
        <v>12347.936683011842</v>
      </c>
      <c r="C21" s="51">
        <f t="shared" si="0"/>
        <v>68.839747007791019</v>
      </c>
      <c r="D21" s="51">
        <f t="shared" si="1"/>
        <v>1091.596805913533</v>
      </c>
      <c r="E21" s="51">
        <f t="shared" si="3"/>
        <v>11256.339877098308</v>
      </c>
      <c r="F21" s="46" t="s">
        <v>92</v>
      </c>
      <c r="G21" s="114" t="s">
        <v>125</v>
      </c>
    </row>
    <row r="22" spans="1:7" x14ac:dyDescent="0.25">
      <c r="A22" s="46">
        <v>15</v>
      </c>
      <c r="B22" s="51">
        <f t="shared" si="2"/>
        <v>11256.339877098308</v>
      </c>
      <c r="C22" s="51">
        <f t="shared" si="0"/>
        <v>62.754094814823063</v>
      </c>
      <c r="D22" s="51">
        <f t="shared" si="1"/>
        <v>1097.6824581065009</v>
      </c>
      <c r="E22" s="51">
        <f t="shared" si="3"/>
        <v>10158.657418991806</v>
      </c>
      <c r="F22" s="46" t="s">
        <v>93</v>
      </c>
      <c r="G22" s="114" t="s">
        <v>125</v>
      </c>
    </row>
    <row r="23" spans="1:7" x14ac:dyDescent="0.25">
      <c r="A23" s="46">
        <v>16</v>
      </c>
      <c r="B23" s="51">
        <f t="shared" ref="B23:B31" si="4">E22</f>
        <v>10158.657418991806</v>
      </c>
      <c r="C23" s="54">
        <f t="shared" si="0"/>
        <v>56.63451511087932</v>
      </c>
      <c r="D23" s="55">
        <f t="shared" si="1"/>
        <v>1103.8020378104445</v>
      </c>
      <c r="E23" s="54">
        <f t="shared" si="3"/>
        <v>9054.8553811813617</v>
      </c>
      <c r="F23" s="46" t="s">
        <v>94</v>
      </c>
      <c r="G23" s="114" t="s">
        <v>125</v>
      </c>
    </row>
    <row r="24" spans="1:7" x14ac:dyDescent="0.25">
      <c r="A24" s="46">
        <v>17</v>
      </c>
      <c r="B24" s="51">
        <f t="shared" si="4"/>
        <v>9054.8553811813617</v>
      </c>
      <c r="C24" s="54">
        <f t="shared" si="0"/>
        <v>50.480818750086094</v>
      </c>
      <c r="D24" s="55">
        <f t="shared" si="1"/>
        <v>1109.9557341712377</v>
      </c>
      <c r="E24" s="54">
        <f t="shared" si="3"/>
        <v>7944.8996470101238</v>
      </c>
      <c r="F24" s="46" t="s">
        <v>95</v>
      </c>
      <c r="G24" s="114" t="s">
        <v>125</v>
      </c>
    </row>
    <row r="25" spans="1:7" x14ac:dyDescent="0.25">
      <c r="A25" s="46">
        <v>18</v>
      </c>
      <c r="B25" s="51">
        <f t="shared" si="4"/>
        <v>7944.8996470101238</v>
      </c>
      <c r="C25" s="54">
        <f t="shared" si="0"/>
        <v>44.292815532081441</v>
      </c>
      <c r="D25" s="55">
        <f t="shared" si="1"/>
        <v>1116.1437373892425</v>
      </c>
      <c r="E25" s="54">
        <f t="shared" si="3"/>
        <v>6828.7559096208815</v>
      </c>
      <c r="F25" s="46" t="s">
        <v>96</v>
      </c>
      <c r="G25" s="114" t="s">
        <v>125</v>
      </c>
    </row>
    <row r="26" spans="1:7" x14ac:dyDescent="0.25">
      <c r="A26" s="46">
        <v>19</v>
      </c>
      <c r="B26" s="51">
        <f t="shared" si="4"/>
        <v>6828.7559096208815</v>
      </c>
      <c r="C26" s="54">
        <f t="shared" si="0"/>
        <v>38.070314196136415</v>
      </c>
      <c r="D26" s="55">
        <f t="shared" si="1"/>
        <v>1122.3662387251875</v>
      </c>
      <c r="E26" s="54">
        <f t="shared" si="3"/>
        <v>5706.3896708956945</v>
      </c>
      <c r="F26" s="46" t="s">
        <v>97</v>
      </c>
      <c r="G26" s="114" t="s">
        <v>126</v>
      </c>
    </row>
    <row r="27" spans="1:7" x14ac:dyDescent="0.25">
      <c r="A27" s="46">
        <v>20</v>
      </c>
      <c r="B27" s="51">
        <f t="shared" si="4"/>
        <v>5706.3896708956945</v>
      </c>
      <c r="C27" s="54">
        <f t="shared" si="0"/>
        <v>31.813122415243498</v>
      </c>
      <c r="D27" s="55">
        <f t="shared" si="1"/>
        <v>1128.6234305060805</v>
      </c>
      <c r="E27" s="54">
        <f t="shared" si="3"/>
        <v>4577.7662403896138</v>
      </c>
      <c r="F27" s="46" t="s">
        <v>98</v>
      </c>
      <c r="G27" s="114" t="s">
        <v>126</v>
      </c>
    </row>
    <row r="28" spans="1:7" x14ac:dyDescent="0.25">
      <c r="A28" s="46">
        <v>21</v>
      </c>
      <c r="B28" s="51">
        <f t="shared" si="4"/>
        <v>4577.7662403896138</v>
      </c>
      <c r="C28" s="54">
        <f t="shared" si="0"/>
        <v>25.521046790172097</v>
      </c>
      <c r="D28" s="55">
        <f t="shared" si="1"/>
        <v>1134.9155061311519</v>
      </c>
      <c r="E28" s="54">
        <f t="shared" si="3"/>
        <v>3442.8507342584617</v>
      </c>
      <c r="F28" s="46" t="s">
        <v>99</v>
      </c>
      <c r="G28" s="114" t="s">
        <v>126</v>
      </c>
    </row>
    <row r="29" spans="1:7" x14ac:dyDescent="0.25">
      <c r="A29" s="46">
        <v>22</v>
      </c>
      <c r="B29" s="51">
        <f t="shared" si="4"/>
        <v>3442.8507342584617</v>
      </c>
      <c r="C29" s="54">
        <f t="shared" si="0"/>
        <v>19.193892843490925</v>
      </c>
      <c r="D29" s="55">
        <f t="shared" si="1"/>
        <v>1141.2426600778331</v>
      </c>
      <c r="E29" s="54">
        <f t="shared" si="3"/>
        <v>2301.6080741806286</v>
      </c>
      <c r="F29" s="46" t="s">
        <v>100</v>
      </c>
      <c r="G29" s="114" t="s">
        <v>126</v>
      </c>
    </row>
    <row r="30" spans="1:7" x14ac:dyDescent="0.25">
      <c r="A30" s="46">
        <v>23</v>
      </c>
      <c r="B30" s="51">
        <f t="shared" si="4"/>
        <v>2301.6080741806286</v>
      </c>
      <c r="C30" s="54">
        <f t="shared" si="0"/>
        <v>12.831465013557004</v>
      </c>
      <c r="D30" s="55">
        <f t="shared" si="1"/>
        <v>1147.605087907767</v>
      </c>
      <c r="E30" s="54">
        <f t="shared" si="3"/>
        <v>1154.0029862728616</v>
      </c>
      <c r="F30" s="46" t="s">
        <v>101</v>
      </c>
      <c r="G30" s="114" t="s">
        <v>126</v>
      </c>
    </row>
    <row r="31" spans="1:7" x14ac:dyDescent="0.25">
      <c r="A31" s="46">
        <v>24</v>
      </c>
      <c r="B31" s="51">
        <f t="shared" si="4"/>
        <v>1154.0029862728616</v>
      </c>
      <c r="C31" s="54">
        <f t="shared" si="0"/>
        <v>6.4335666484712037</v>
      </c>
      <c r="D31" s="55">
        <f t="shared" si="1"/>
        <v>1154.0029862728527</v>
      </c>
      <c r="E31" s="54">
        <f t="shared" si="3"/>
        <v>8.8675733422860503E-12</v>
      </c>
      <c r="F31" s="46" t="s">
        <v>102</v>
      </c>
      <c r="G31" s="114" t="s">
        <v>126</v>
      </c>
    </row>
    <row r="32" spans="1:7" x14ac:dyDescent="0.25">
      <c r="C32" s="56">
        <f>SUM(C8:C31)</f>
        <v>1850.4772701117813</v>
      </c>
      <c r="D32" s="57">
        <f>SUM(D8:D31)</f>
        <v>25999.999999999993</v>
      </c>
    </row>
    <row r="33" spans="3:4" x14ac:dyDescent="0.25">
      <c r="C33" s="43" t="s">
        <v>77</v>
      </c>
      <c r="D33" s="44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20xy-xz CashFlowBudget</vt:lpstr>
      <vt:lpstr>20xy-xzForecastReceiptsSchedule</vt:lpstr>
      <vt:lpstr>loan calculator Mercedes van</vt:lpstr>
      <vt:lpstr>loan calculator equipment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2017-09-21T02:14:25Z</dcterms:modified>
</cp:coreProperties>
</file>